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checkCompatibility="1" defaultThemeVersion="153222"/>
  <mc:AlternateContent xmlns:mc="http://schemas.openxmlformats.org/markup-compatibility/2006">
    <mc:Choice Requires="x15">
      <x15ac:absPath xmlns:x15ac="http://schemas.microsoft.com/office/spreadsheetml/2010/11/ac" url="P:\Sonstiges\Homepage\"/>
    </mc:Choice>
  </mc:AlternateContent>
  <bookViews>
    <workbookView showHorizontalScroll="0" showVerticalScroll="0" xWindow="0" yWindow="0" windowWidth="21600" windowHeight="9885"/>
  </bookViews>
  <sheets>
    <sheet name="Kaufvertrag" sheetId="1" r:id="rId1"/>
    <sheet name="Übertragungsvertrag" sheetId="2" r:id="rId2"/>
    <sheet name="Haupttabelle" sheetId="3" state="hidden" r:id="rId3"/>
    <sheet name="Rechentabelle" sheetId="4" state="hidden" r:id="rId4"/>
  </sheets>
  <definedNames>
    <definedName name="_xlnm.Print_Area" localSheetId="0">Kaufvertrag!$A$1:$G$39</definedName>
    <definedName name="_xlnm.Print_Area" localSheetId="1">Übertragungsvertrag!$A$1:$G$25</definedName>
    <definedName name="Z_FF9F85E7_6E40_4D4A_8166_CEBF69C362EC_.wvu.PrintArea" localSheetId="0" hidden="1">Kaufvertrag!$A$1:$G$39</definedName>
    <definedName name="Z_FF9F85E7_6E40_4D4A_8166_CEBF69C362EC_.wvu.PrintArea" localSheetId="1" hidden="1">Übertragungsvertrag!$A$1:$G$25</definedName>
    <definedName name="Z_FF9F85E7_6E40_4D4A_8166_CEBF69C362EC_.wvu.Rows" localSheetId="0" hidden="1">Kaufvertrag!$28:$28,Kaufvertrag!$35:$35</definedName>
    <definedName name="Z_FF9F85E7_6E40_4D4A_8166_CEBF69C362EC_.wvu.Rows" localSheetId="1" hidden="1">Übertragungsvertrag!$16:$16,Übertragungsvertrag!$21:$21,Übertragungsvertrag!$23:$23</definedName>
  </definedNames>
  <calcPr calcId="152511" refMode="R1C1"/>
  <customWorkbookViews>
    <customWorkbookView name="Mitarbeiter - Persönliche Ansicht" guid="{FF9F85E7-6E40-4D4A-8166-CEBF69C362EC}" mergeInterval="0" personalView="1" showHorizontalScroll="0" showVerticalScroll="0" xWindow="153" yWindow="153" windowWidth="1260" windowHeight="744" activeSheetId="1" showFormulaBar="0"/>
  </customWorkbookViews>
</workbook>
</file>

<file path=xl/calcChain.xml><?xml version="1.0" encoding="utf-8"?>
<calcChain xmlns="http://schemas.openxmlformats.org/spreadsheetml/2006/main">
  <c r="B5" i="1" l="1"/>
  <c r="A20" i="4" s="1"/>
  <c r="A57" i="4"/>
  <c r="C60" i="4" s="1"/>
  <c r="D60" i="4" s="1"/>
  <c r="E60" i="4" s="1"/>
  <c r="B59" i="4"/>
  <c r="C61" i="4"/>
  <c r="D61" i="4" s="1"/>
  <c r="E61" i="4" s="1"/>
  <c r="C62" i="4"/>
  <c r="D62" i="4" s="1"/>
  <c r="E62" i="4" s="1"/>
  <c r="C65" i="4"/>
  <c r="D65" i="4" s="1"/>
  <c r="E65" i="4" s="1"/>
  <c r="C66" i="4"/>
  <c r="D66" i="4" s="1"/>
  <c r="E66" i="4" s="1"/>
  <c r="C68" i="4"/>
  <c r="D68" i="4" s="1"/>
  <c r="E68" i="4" s="1"/>
  <c r="C69" i="4"/>
  <c r="D69" i="4" s="1"/>
  <c r="E69" i="4" s="1"/>
  <c r="F69" i="4" s="1"/>
  <c r="B69" i="4" s="1"/>
  <c r="B77" i="4"/>
  <c r="D77" i="4" s="1"/>
  <c r="B78" i="4"/>
  <c r="D78" i="4"/>
  <c r="H78" i="4" s="1"/>
  <c r="B79" i="4"/>
  <c r="D79" i="4" s="1"/>
  <c r="B80" i="4"/>
  <c r="D80" i="4"/>
  <c r="H80" i="4" s="1"/>
  <c r="B81" i="4"/>
  <c r="D81" i="4" s="1"/>
  <c r="B82" i="4"/>
  <c r="D82" i="4"/>
  <c r="H82" i="4" s="1"/>
  <c r="B83" i="4"/>
  <c r="D83" i="4" s="1"/>
  <c r="F83" i="4" s="1"/>
  <c r="H83" i="4"/>
  <c r="B84" i="4"/>
  <c r="D84" i="4"/>
  <c r="F84" i="4" s="1"/>
  <c r="B85" i="4"/>
  <c r="D85" i="4" s="1"/>
  <c r="F85" i="4" s="1"/>
  <c r="B86" i="4"/>
  <c r="D86" i="4"/>
  <c r="F86" i="4" s="1"/>
  <c r="B87" i="4"/>
  <c r="D87" i="4" s="1"/>
  <c r="F87" i="4" s="1"/>
  <c r="A9" i="3"/>
  <c r="A2" i="4" s="1"/>
  <c r="B5" i="2"/>
  <c r="E5" i="2"/>
  <c r="E5" i="1"/>
  <c r="B19" i="1"/>
  <c r="A37" i="4" s="1"/>
  <c r="E19" i="1"/>
  <c r="C22" i="1"/>
  <c r="C23" i="1" s="1"/>
  <c r="C33" i="1"/>
  <c r="F77" i="4" l="1"/>
  <c r="H77" i="4"/>
  <c r="F81" i="4"/>
  <c r="H81" i="4"/>
  <c r="F68" i="4"/>
  <c r="B68" i="4" s="1"/>
  <c r="F65" i="4"/>
  <c r="B65" i="4" s="1"/>
  <c r="G65" i="4"/>
  <c r="F62" i="4"/>
  <c r="B62" i="4" s="1"/>
  <c r="G61" i="4"/>
  <c r="C50" i="4"/>
  <c r="D50" i="4" s="1"/>
  <c r="E50" i="4" s="1"/>
  <c r="F50" i="4" s="1"/>
  <c r="B50" i="4" s="1"/>
  <c r="C40" i="4"/>
  <c r="D40" i="4" s="1"/>
  <c r="E40" i="4" s="1"/>
  <c r="C44" i="4"/>
  <c r="D44" i="4" s="1"/>
  <c r="E44" i="4" s="1"/>
  <c r="F66" i="4"/>
  <c r="B66" i="4" s="1"/>
  <c r="G66" i="4"/>
  <c r="F79" i="4"/>
  <c r="H79" i="4"/>
  <c r="G62" i="4" s="1"/>
  <c r="C7" i="4"/>
  <c r="D7" i="4" s="1"/>
  <c r="E7" i="4" s="1"/>
  <c r="C11" i="4"/>
  <c r="D11" i="4" s="1"/>
  <c r="E11" i="4" s="1"/>
  <c r="C14" i="4"/>
  <c r="D14" i="4" s="1"/>
  <c r="E14" i="4" s="1"/>
  <c r="F14" i="4" s="1"/>
  <c r="B14" i="4" s="1"/>
  <c r="B4" i="4"/>
  <c r="C6" i="4"/>
  <c r="D6" i="4" s="1"/>
  <c r="E6" i="4" s="1"/>
  <c r="C10" i="4"/>
  <c r="D10" i="4" s="1"/>
  <c r="E10" i="4" s="1"/>
  <c r="C13" i="4"/>
  <c r="D13" i="4" s="1"/>
  <c r="E13" i="4" s="1"/>
  <c r="F13" i="4" s="1"/>
  <c r="B13" i="4" s="1"/>
  <c r="C5" i="4"/>
  <c r="D5" i="4" s="1"/>
  <c r="E5" i="4" s="1"/>
  <c r="C9" i="4"/>
  <c r="D9" i="4" s="1"/>
  <c r="E9" i="4" s="1"/>
  <c r="C15" i="4"/>
  <c r="D15" i="4" s="1"/>
  <c r="E15" i="4" s="1"/>
  <c r="F15" i="4" s="1"/>
  <c r="B15" i="4" s="1"/>
  <c r="C8" i="4"/>
  <c r="D8" i="4" s="1"/>
  <c r="E8" i="4" s="1"/>
  <c r="C12" i="4"/>
  <c r="D12" i="4" s="1"/>
  <c r="E12" i="4" s="1"/>
  <c r="F12" i="4" s="1"/>
  <c r="B12" i="4" s="1"/>
  <c r="F60" i="4"/>
  <c r="B60" i="4" s="1"/>
  <c r="G60" i="4"/>
  <c r="F82" i="4"/>
  <c r="F80" i="4"/>
  <c r="F78" i="4"/>
  <c r="F61" i="4" s="1"/>
  <c r="B61" i="4" s="1"/>
  <c r="C67" i="4"/>
  <c r="D67" i="4" s="1"/>
  <c r="E67" i="4" s="1"/>
  <c r="F67" i="4" s="1"/>
  <c r="B67" i="4" s="1"/>
  <c r="C63" i="4"/>
  <c r="D63" i="4" s="1"/>
  <c r="E63" i="4" s="1"/>
  <c r="C24" i="1"/>
  <c r="C27" i="1" s="1"/>
  <c r="C29" i="1" s="1"/>
  <c r="C70" i="4"/>
  <c r="D70" i="4" s="1"/>
  <c r="E70" i="4" s="1"/>
  <c r="F70" i="4" s="1"/>
  <c r="B70" i="4" s="1"/>
  <c r="C64" i="4"/>
  <c r="D64" i="4" s="1"/>
  <c r="E64" i="4" s="1"/>
  <c r="C25" i="4"/>
  <c r="D25" i="4" s="1"/>
  <c r="E25" i="4" s="1"/>
  <c r="C29" i="4"/>
  <c r="D29" i="4" s="1"/>
  <c r="E29" i="4" s="1"/>
  <c r="C32" i="4"/>
  <c r="D32" i="4" s="1"/>
  <c r="E32" i="4" s="1"/>
  <c r="F32" i="4" s="1"/>
  <c r="B32" i="4" s="1"/>
  <c r="C24" i="4"/>
  <c r="D24" i="4" s="1"/>
  <c r="E24" i="4" s="1"/>
  <c r="C28" i="4"/>
  <c r="D28" i="4" s="1"/>
  <c r="E28" i="4" s="1"/>
  <c r="C31" i="4"/>
  <c r="D31" i="4" s="1"/>
  <c r="E31" i="4" s="1"/>
  <c r="F31" i="4" s="1"/>
  <c r="B31" i="4" s="1"/>
  <c r="C30" i="4"/>
  <c r="D30" i="4" s="1"/>
  <c r="E30" i="4" s="1"/>
  <c r="F30" i="4" s="1"/>
  <c r="B30" i="4" s="1"/>
  <c r="B22" i="4"/>
  <c r="C26" i="4"/>
  <c r="D26" i="4" s="1"/>
  <c r="E26" i="4" s="1"/>
  <c r="C23" i="4"/>
  <c r="D23" i="4" s="1"/>
  <c r="E23" i="4" s="1"/>
  <c r="C27" i="4"/>
  <c r="D27" i="4" s="1"/>
  <c r="E27" i="4" s="1"/>
  <c r="C33" i="4"/>
  <c r="D33" i="4" s="1"/>
  <c r="E33" i="4" s="1"/>
  <c r="F33" i="4" s="1"/>
  <c r="B33" i="4" s="1"/>
  <c r="F44" i="4"/>
  <c r="B44" i="4" s="1"/>
  <c r="G44" i="4"/>
  <c r="F40" i="4"/>
  <c r="B40" i="4" s="1"/>
  <c r="G40" i="4"/>
  <c r="C48" i="4"/>
  <c r="D48" i="4" s="1"/>
  <c r="E48" i="4" s="1"/>
  <c r="F48" i="4" s="1"/>
  <c r="B48" i="4" s="1"/>
  <c r="C45" i="4"/>
  <c r="D45" i="4" s="1"/>
  <c r="E45" i="4" s="1"/>
  <c r="C41" i="4"/>
  <c r="D41" i="4" s="1"/>
  <c r="E41" i="4" s="1"/>
  <c r="B39" i="4"/>
  <c r="C49" i="4"/>
  <c r="D49" i="4" s="1"/>
  <c r="E49" i="4" s="1"/>
  <c r="F49" i="4" s="1"/>
  <c r="B49" i="4" s="1"/>
  <c r="C46" i="4"/>
  <c r="D46" i="4" s="1"/>
  <c r="E46" i="4" s="1"/>
  <c r="C42" i="4"/>
  <c r="D42" i="4" s="1"/>
  <c r="E42" i="4" s="1"/>
  <c r="C47" i="4"/>
  <c r="D47" i="4" s="1"/>
  <c r="E47" i="4" s="1"/>
  <c r="F47" i="4" s="1"/>
  <c r="B47" i="4" s="1"/>
  <c r="C43" i="4"/>
  <c r="D43" i="4" s="1"/>
  <c r="E43" i="4" s="1"/>
  <c r="G63" i="4" l="1"/>
  <c r="F63" i="4"/>
  <c r="B63" i="4" s="1"/>
  <c r="F8" i="4"/>
  <c r="B8" i="4" s="1"/>
  <c r="G8" i="4"/>
  <c r="F9" i="4"/>
  <c r="B9" i="4" s="1"/>
  <c r="G9" i="4"/>
  <c r="F11" i="4"/>
  <c r="B11" i="4" s="1"/>
  <c r="G11" i="4"/>
  <c r="F64" i="4"/>
  <c r="B64" i="4" s="1"/>
  <c r="A72" i="4" s="1"/>
  <c r="G64" i="4"/>
  <c r="F5" i="4"/>
  <c r="B5" i="4" s="1"/>
  <c r="A17" i="4" s="1"/>
  <c r="G10" i="3" s="1"/>
  <c r="G5" i="4"/>
  <c r="F7" i="4"/>
  <c r="B7" i="4" s="1"/>
  <c r="G7" i="4"/>
  <c r="F6" i="4"/>
  <c r="B6" i="4" s="1"/>
  <c r="G6" i="4"/>
  <c r="G72" i="4"/>
  <c r="H88" i="4"/>
  <c r="F10" i="4"/>
  <c r="B10" i="4" s="1"/>
  <c r="G10" i="4"/>
  <c r="F88" i="4"/>
  <c r="G42" i="4"/>
  <c r="F42" i="4"/>
  <c r="B42" i="4" s="1"/>
  <c r="G28" i="4"/>
  <c r="F28" i="4"/>
  <c r="B28" i="4" s="1"/>
  <c r="G24" i="4"/>
  <c r="F24" i="4"/>
  <c r="B24" i="4" s="1"/>
  <c r="F27" i="4"/>
  <c r="B27" i="4" s="1"/>
  <c r="G27" i="4"/>
  <c r="F43" i="4"/>
  <c r="B43" i="4" s="1"/>
  <c r="G43" i="4"/>
  <c r="F41" i="4"/>
  <c r="B41" i="4" s="1"/>
  <c r="G41" i="4"/>
  <c r="F45" i="4"/>
  <c r="B45" i="4" s="1"/>
  <c r="G45" i="4"/>
  <c r="F23" i="4"/>
  <c r="B23" i="4" s="1"/>
  <c r="G23" i="4"/>
  <c r="F26" i="4"/>
  <c r="B26" i="4" s="1"/>
  <c r="G26" i="4"/>
  <c r="F29" i="4"/>
  <c r="B29" i="4" s="1"/>
  <c r="G29" i="4"/>
  <c r="G46" i="4"/>
  <c r="F46" i="4"/>
  <c r="B46" i="4" s="1"/>
  <c r="F25" i="4"/>
  <c r="B25" i="4" s="1"/>
  <c r="G25" i="4"/>
  <c r="G13" i="3" l="1"/>
  <c r="G9" i="3"/>
  <c r="G11" i="3"/>
  <c r="G12" i="3"/>
  <c r="G14" i="3"/>
  <c r="C8" i="2"/>
  <c r="C11" i="2"/>
  <c r="G9" i="2"/>
  <c r="G14" i="2" s="1"/>
  <c r="C18" i="2" s="1"/>
  <c r="G11" i="2"/>
  <c r="G17" i="4"/>
  <c r="A51" i="4"/>
  <c r="G51" i="4"/>
  <c r="A35" i="4"/>
  <c r="C8" i="1" s="1"/>
  <c r="C25" i="1"/>
  <c r="C26" i="1"/>
  <c r="G22" i="1"/>
  <c r="G29" i="1" s="1"/>
  <c r="G35" i="4"/>
  <c r="C13" i="2" l="1"/>
  <c r="C14" i="2" s="1"/>
  <c r="C17" i="2" s="1"/>
  <c r="C20" i="2" s="1"/>
  <c r="E20" i="2" s="1"/>
  <c r="C10" i="1"/>
  <c r="G9" i="1"/>
  <c r="C12" i="1"/>
  <c r="G8" i="1"/>
  <c r="C9" i="1"/>
  <c r="G12" i="1"/>
  <c r="C14" i="1" l="1"/>
  <c r="C15" i="1" s="1"/>
  <c r="C31" i="1" s="1"/>
  <c r="C34" i="1" s="1"/>
  <c r="E34" i="1" s="1"/>
  <c r="G15" i="1"/>
  <c r="C32" i="1" s="1"/>
</calcChain>
</file>

<file path=xl/sharedStrings.xml><?xml version="1.0" encoding="utf-8"?>
<sst xmlns="http://schemas.openxmlformats.org/spreadsheetml/2006/main" count="168" uniqueCount="80">
  <si>
    <t>Gebühr</t>
  </si>
  <si>
    <t>Geschäftswert</t>
  </si>
  <si>
    <t>EUR</t>
  </si>
  <si>
    <t>Gebührensatz</t>
  </si>
  <si>
    <t>Kaufvertrag</t>
  </si>
  <si>
    <t>Kaufpreis in Euro</t>
  </si>
  <si>
    <t>[Wert eingeben ]</t>
  </si>
  <si>
    <t>Notargebühren</t>
  </si>
  <si>
    <t>Gebühr in €</t>
  </si>
  <si>
    <t>Gerichtsgebühren</t>
  </si>
  <si>
    <t>Eintragung Vormerkung</t>
  </si>
  <si>
    <t>Eigentumsumschreibung</t>
  </si>
  <si>
    <t>Löschung Vormerkung</t>
  </si>
  <si>
    <t>Summe</t>
  </si>
  <si>
    <t>Grundschuld</t>
  </si>
  <si>
    <t>Grundschuldbetrag in Euro</t>
  </si>
  <si>
    <t>Eintragung Grundschuld</t>
  </si>
  <si>
    <t>Notargebühren gesamt</t>
  </si>
  <si>
    <t>Gerichtsgebühren gesamt</t>
  </si>
  <si>
    <t>Gebühren und Steuern gesamt</t>
  </si>
  <si>
    <t>=</t>
  </si>
  <si>
    <t>Rechentabelle Grundschuld</t>
  </si>
  <si>
    <t>Rechentabelle Kaufvertrag</t>
  </si>
  <si>
    <t>Übertragungsvertrag</t>
  </si>
  <si>
    <t>Rechentabelle Übertragungsvertrag</t>
  </si>
  <si>
    <t>Wert des Grundbesitzes in Euro</t>
  </si>
  <si>
    <t>evt. Eintragung Vormerkung</t>
  </si>
  <si>
    <t>evt. Eintragung Nießbrauch, Rente</t>
  </si>
  <si>
    <t>Gebühren gesamt</t>
  </si>
  <si>
    <t>Rechentabelle Haupttabelle</t>
  </si>
  <si>
    <t>Wert eingeben</t>
  </si>
  <si>
    <r>
      <t>Geschäftswert</t>
    </r>
    <r>
      <rPr>
        <b/>
        <vertAlign val="superscript"/>
        <sz val="12"/>
        <color indexed="18"/>
        <rFont val="Arial"/>
        <family val="2"/>
      </rPr>
      <t>2)</t>
    </r>
  </si>
  <si>
    <t>MWSt 19 %.</t>
  </si>
  <si>
    <t>Geschäftswert bis 500</t>
  </si>
  <si>
    <t>Geschäftswert bis 501 bis 2000</t>
  </si>
  <si>
    <t>bis 10000</t>
  </si>
  <si>
    <t>bis 25000</t>
  </si>
  <si>
    <t>bis 50000</t>
  </si>
  <si>
    <t>bis 200000</t>
  </si>
  <si>
    <t>bis 500000</t>
  </si>
  <si>
    <t>bis 5000000</t>
  </si>
  <si>
    <t>bis 10000000</t>
  </si>
  <si>
    <t>bis 20000000</t>
  </si>
  <si>
    <t>bis 30000000</t>
  </si>
  <si>
    <t>bis 60000000</t>
  </si>
  <si>
    <t>2,0</t>
  </si>
  <si>
    <t>0,5</t>
  </si>
  <si>
    <t>1</t>
  </si>
  <si>
    <t>0,3</t>
  </si>
  <si>
    <t>0,15 € pro Seite</t>
  </si>
  <si>
    <t>1,0</t>
  </si>
  <si>
    <t>TabelleB</t>
  </si>
  <si>
    <t>TabelleA</t>
  </si>
  <si>
    <r>
      <t>3)</t>
    </r>
    <r>
      <rPr>
        <sz val="7"/>
        <color indexed="18"/>
        <rFont val="Arial"/>
        <family val="2"/>
      </rPr>
      <t xml:space="preserve"> Evt. fallen beim Verkäufer weitere Gebühren an, etwa für einen Treuhandauftrag eines abzulösenden Gläubiger (0,5 Gebühr; Wert=Treuhandauflage)</t>
    </r>
  </si>
  <si>
    <r>
      <t xml:space="preserve">Beurkundungsgebühr </t>
    </r>
    <r>
      <rPr>
        <sz val="6"/>
        <color indexed="18"/>
        <rFont val="Arial"/>
        <family val="2"/>
      </rPr>
      <t>(21100)</t>
    </r>
  </si>
  <si>
    <r>
      <t xml:space="preserve">Vollzugsgebühr </t>
    </r>
    <r>
      <rPr>
        <sz val="6"/>
        <color indexed="18"/>
        <rFont val="Arial"/>
        <family val="2"/>
      </rPr>
      <t>(22110)</t>
    </r>
    <r>
      <rPr>
        <sz val="5"/>
        <color indexed="18"/>
        <rFont val="Arial"/>
        <family val="2"/>
      </rPr>
      <t xml:space="preserve"> 2)</t>
    </r>
  </si>
  <si>
    <r>
      <t xml:space="preserve">Betreuungsgebühr </t>
    </r>
    <r>
      <rPr>
        <sz val="6"/>
        <color indexed="18"/>
        <rFont val="Arial"/>
        <family val="2"/>
      </rPr>
      <t>(22200)</t>
    </r>
    <r>
      <rPr>
        <sz val="8"/>
        <color indexed="18"/>
        <rFont val="Arial"/>
        <family val="2"/>
      </rPr>
      <t xml:space="preserve"> </t>
    </r>
    <r>
      <rPr>
        <sz val="5"/>
        <color indexed="18"/>
        <rFont val="Arial"/>
        <family val="2"/>
      </rPr>
      <t>3)</t>
    </r>
  </si>
  <si>
    <r>
      <t xml:space="preserve">Dokumentenpauschale (abschlägig) </t>
    </r>
    <r>
      <rPr>
        <sz val="6"/>
        <color indexed="18"/>
        <rFont val="Arial"/>
        <family val="2"/>
      </rPr>
      <t>(32001)</t>
    </r>
  </si>
  <si>
    <r>
      <t xml:space="preserve">Post- und Telekompauschale </t>
    </r>
    <r>
      <rPr>
        <sz val="6"/>
        <color indexed="18"/>
        <rFont val="Arial"/>
        <family val="2"/>
      </rPr>
      <t>(32005)</t>
    </r>
  </si>
  <si>
    <r>
      <t xml:space="preserve">Auslagen für Abruf des elektr. Grundbuchs </t>
    </r>
    <r>
      <rPr>
        <sz val="6"/>
        <color indexed="18"/>
        <rFont val="Arial"/>
        <family val="2"/>
      </rPr>
      <t>(32011)</t>
    </r>
  </si>
  <si>
    <r>
      <t>Beurkundungsgebühr</t>
    </r>
    <r>
      <rPr>
        <sz val="6"/>
        <color indexed="18"/>
        <rFont val="Arial"/>
        <family val="2"/>
      </rPr>
      <t xml:space="preserve"> (21200)</t>
    </r>
  </si>
  <si>
    <r>
      <t xml:space="preserve">Betreuungsgebühr </t>
    </r>
    <r>
      <rPr>
        <sz val="6"/>
        <color indexed="18"/>
        <rFont val="Arial"/>
        <family val="2"/>
      </rPr>
      <t>(22200)</t>
    </r>
  </si>
  <si>
    <r>
      <t>Dokumentenpauschale (abschlägig)</t>
    </r>
    <r>
      <rPr>
        <sz val="6"/>
        <color indexed="18"/>
        <rFont val="Arial"/>
        <family val="2"/>
      </rPr>
      <t xml:space="preserve"> (32001)</t>
    </r>
  </si>
  <si>
    <r>
      <t xml:space="preserve">evt. Rangbescheinigung </t>
    </r>
    <r>
      <rPr>
        <sz val="6"/>
        <color indexed="18"/>
        <rFont val="Arial"/>
        <family val="2"/>
      </rPr>
      <t>(25201)</t>
    </r>
  </si>
  <si>
    <t>2</t>
  </si>
  <si>
    <t>1,5</t>
  </si>
  <si>
    <t>0,25</t>
  </si>
  <si>
    <t>0,1</t>
  </si>
  <si>
    <r>
      <t>GNotKG-Gebührenrechner</t>
    </r>
    <r>
      <rPr>
        <b/>
        <vertAlign val="superscript"/>
        <sz val="14"/>
        <color indexed="18"/>
        <rFont val="Arial"/>
        <family val="2"/>
      </rPr>
      <t>1)</t>
    </r>
  </si>
  <si>
    <r>
      <t xml:space="preserve">evt. Vollzugsgebühr </t>
    </r>
    <r>
      <rPr>
        <sz val="6"/>
        <color indexed="18"/>
        <rFont val="Arial"/>
        <family val="2"/>
      </rPr>
      <t>(22110)</t>
    </r>
  </si>
  <si>
    <r>
      <t>Auslagen für Abruf des elektr. Grundbuchs</t>
    </r>
    <r>
      <rPr>
        <sz val="6"/>
        <color indexed="18"/>
        <rFont val="Arial"/>
        <family val="2"/>
      </rPr>
      <t xml:space="preserve"> (32011)</t>
    </r>
  </si>
  <si>
    <r>
      <t>Eigentumsumschreibung</t>
    </r>
    <r>
      <rPr>
        <sz val="5"/>
        <color indexed="18"/>
        <rFont val="Arial"/>
        <family val="2"/>
      </rPr>
      <t xml:space="preserve"> 3</t>
    </r>
    <r>
      <rPr>
        <vertAlign val="superscript"/>
        <sz val="5"/>
        <color indexed="18"/>
        <rFont val="Arial"/>
        <family val="2"/>
      </rPr>
      <t>)</t>
    </r>
    <r>
      <rPr>
        <vertAlign val="superscript"/>
        <sz val="8"/>
        <color indexed="18"/>
        <rFont val="Arial"/>
        <family val="2"/>
      </rPr>
      <t xml:space="preserve"> </t>
    </r>
  </si>
  <si>
    <r>
      <t>1)</t>
    </r>
    <r>
      <rPr>
        <sz val="7"/>
        <color indexed="18"/>
        <rFont val="Arial"/>
        <family val="2"/>
      </rPr>
      <t xml:space="preserve"> Bitte beachten Sie: Die Gerichts- und Notargebühren sind gesetzlich genau bestimmt und sind nicht verhandelbar. Mit dem Gebührenrechner können Sie die entstehenden Nebenkosten nur abschlägig ermitteln; es fallen stets die für den konkreten Sachverhalt gesetzlich bestimmten Gebühren an. Der Rechner soll nur eine Orientierungshilfe geben. Eine Haftung für etwaige Berechnungsfehler wird nicht übernommen.</t>
    </r>
  </si>
  <si>
    <r>
      <t>Grunderwerbsteuer 6,5 %</t>
    </r>
    <r>
      <rPr>
        <sz val="8"/>
        <color indexed="18"/>
        <rFont val="Arial"/>
        <family val="2"/>
      </rPr>
      <t xml:space="preserve"> </t>
    </r>
    <r>
      <rPr>
        <sz val="5"/>
        <color indexed="18"/>
        <rFont val="Arial"/>
        <family val="2"/>
      </rPr>
      <t>4)</t>
    </r>
  </si>
  <si>
    <r>
      <t>4)</t>
    </r>
    <r>
      <rPr>
        <sz val="7"/>
        <color indexed="18"/>
        <rFont val="Arial"/>
        <family val="2"/>
      </rPr>
      <t xml:space="preserve"> Grunderwerbsteuer NRW Stand: 01.01.2015</t>
    </r>
  </si>
  <si>
    <r>
      <t>1)</t>
    </r>
    <r>
      <rPr>
        <sz val="7"/>
        <color indexed="18"/>
        <rFont val="Arial"/>
        <family val="2"/>
      </rPr>
      <t xml:space="preserve"> Bitte beachten Sie: Die Gerichts- und Notargebühren sind gesetzlich genau bestimmt und sind gesetzlich nicht verhandelbar. Mit dem Gebührenrechner können Sie die entstehenden Nebenkosten nur ab-schlägig ermitteln; es fallen stets die für den konkreten Sachverhalt gesetzlich bestimmten Gebühren an. Zusätzliche Kosten entstehen insbesondere durch die Genehmigung eines vertretenen Vertragsbeteilig-ten, die regelmäßig der Vertretene zu tragen hat, und Notar- und Gerichtsgebühren für die Löschung der nicht übernommenen Grundschulden des Verkäufers, die regelmäßig der Verkäufer zu tragen hat. Der Gebührenrechner soll nur eine Orientierungshilfe geben. Eine Haftung für etwaige Berechnungsfehler wird nicht übernommen (Stand: 01.08.2013)</t>
    </r>
  </si>
  <si>
    <r>
      <t>2)</t>
    </r>
    <r>
      <rPr>
        <sz val="7"/>
        <color indexed="18"/>
        <rFont val="Arial"/>
        <family val="2"/>
      </rPr>
      <t xml:space="preserve"> Die Vollzugsgebühr ist auf max € 50,00 begrenzt, wenn nur Vorkaufsrechtsverzichtserklärung eingeholt werden muss. Wenn weitergehende Vollzug ausschließlich durch den Verkäufer erforderlich wird (z.B. durch Einholung von Lastenfreistellungserklärungen oder einer Genehmigung auf Seiten des Verkäufers) trägt dieser die über € 50,00 hinausgehenden Vollzugsgebühren), soweit dies in der Kaufvertragsurkun-de so vereinbart ist.</t>
    </r>
  </si>
  <si>
    <t>© Notare Müsgen &amp; Dr. Peters in Aachen 2.1</t>
  </si>
  <si>
    <r>
      <t xml:space="preserve">Gebührenrechner - Übertragungsvertrag </t>
    </r>
    <r>
      <rPr>
        <vertAlign val="superscript"/>
        <sz val="12"/>
        <color indexed="18"/>
        <rFont val="Arial"/>
        <family val="2"/>
      </rPr>
      <t>1)</t>
    </r>
    <r>
      <rPr>
        <sz val="12"/>
        <color indexed="18"/>
        <rFont val="Arial"/>
        <family val="2"/>
      </rPr>
      <t xml:space="preserve">  Stand: 01.01.2015</t>
    </r>
  </si>
  <si>
    <r>
      <t xml:space="preserve">Gebührenrechner - Grundstückskaufvertrag </t>
    </r>
    <r>
      <rPr>
        <vertAlign val="superscript"/>
        <sz val="12"/>
        <color indexed="18"/>
        <rFont val="Arial"/>
        <family val="2"/>
      </rPr>
      <t>1</t>
    </r>
    <r>
      <rPr>
        <sz val="12"/>
        <color indexed="18"/>
        <rFont val="Arial"/>
        <family val="2"/>
      </rPr>
      <t xml:space="preserve">  </t>
    </r>
    <r>
      <rPr>
        <sz val="8"/>
        <color indexed="18"/>
        <rFont val="Arial"/>
        <family val="2"/>
      </rPr>
      <t>STAND 19.02.2015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</si>
</sst>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2]\ #,##0.00"/>
    <numFmt numFmtId="166" formatCode="#,##0.00\ [$€-1]"/>
  </numFmts>
  <fonts count="54" x14ac:knownFonts="1">
    <font>
      <sz val="10"/>
      <name val="Arial"/>
    </font>
    <font>
      <b/>
      <sz val="12"/>
      <color indexed="18"/>
      <name val="Garamond"/>
      <family val="1"/>
    </font>
    <font>
      <sz val="12"/>
      <color indexed="18"/>
      <name val="Arial"/>
    </font>
    <font>
      <b/>
      <sz val="12"/>
      <color indexed="23"/>
      <name val="Garamond"/>
      <family val="1"/>
    </font>
    <font>
      <b/>
      <sz val="10"/>
      <color indexed="18"/>
      <name val="Garamond"/>
      <family val="1"/>
    </font>
    <font>
      <b/>
      <sz val="14"/>
      <color indexed="18"/>
      <name val="Garamond"/>
      <family val="1"/>
    </font>
    <font>
      <b/>
      <sz val="10"/>
      <color indexed="23"/>
      <name val="Garamond"/>
      <family val="1"/>
    </font>
    <font>
      <sz val="8"/>
      <color indexed="18"/>
      <name val="Garamond"/>
      <family val="1"/>
    </font>
    <font>
      <b/>
      <vertAlign val="superscript"/>
      <sz val="12"/>
      <color indexed="18"/>
      <name val="Garamond"/>
      <family val="1"/>
    </font>
    <font>
      <sz val="10"/>
      <color indexed="18"/>
      <name val="Garamond"/>
      <family val="1"/>
    </font>
    <font>
      <sz val="11"/>
      <color indexed="18"/>
      <name val="Garamond"/>
      <family val="1"/>
    </font>
    <font>
      <vertAlign val="superscript"/>
      <sz val="14"/>
      <color indexed="18"/>
      <name val="Garamond"/>
      <family val="1"/>
    </font>
    <font>
      <sz val="14"/>
      <color indexed="18"/>
      <name val="Garamond"/>
      <family val="1"/>
    </font>
    <font>
      <sz val="11"/>
      <color indexed="18"/>
      <name val="Arial"/>
      <family val="2"/>
    </font>
    <font>
      <sz val="8"/>
      <color indexed="18"/>
      <name val="Arial"/>
      <family val="2"/>
    </font>
    <font>
      <b/>
      <sz val="12"/>
      <color indexed="18"/>
      <name val="Arial"/>
      <family val="2"/>
    </font>
    <font>
      <sz val="12"/>
      <color indexed="18"/>
      <name val="Arial"/>
      <family val="2"/>
    </font>
    <font>
      <sz val="10"/>
      <name val="Arial"/>
      <family val="2"/>
    </font>
    <font>
      <sz val="10"/>
      <color indexed="18"/>
      <name val="Arial"/>
      <family val="2"/>
    </font>
    <font>
      <b/>
      <sz val="10"/>
      <color indexed="18"/>
      <name val="Arial"/>
      <family val="2"/>
    </font>
    <font>
      <sz val="10"/>
      <color indexed="62"/>
      <name val="Arial"/>
      <family val="2"/>
    </font>
    <font>
      <sz val="12"/>
      <color indexed="62"/>
      <name val="Arial"/>
      <family val="2"/>
    </font>
    <font>
      <sz val="10"/>
      <color indexed="32"/>
      <name val="Arial"/>
      <family val="2"/>
    </font>
    <font>
      <sz val="10"/>
      <color indexed="18"/>
      <name val="Arial"/>
    </font>
    <font>
      <vertAlign val="superscript"/>
      <sz val="12"/>
      <color indexed="18"/>
      <name val="Arial"/>
      <family val="2"/>
    </font>
    <font>
      <sz val="8"/>
      <color indexed="23"/>
      <name val="Arial"/>
      <family val="2"/>
    </font>
    <font>
      <sz val="9"/>
      <color indexed="18"/>
      <name val="Arial"/>
      <family val="2"/>
    </font>
    <font>
      <b/>
      <sz val="14"/>
      <color indexed="18"/>
      <name val="Arial"/>
      <family val="2"/>
    </font>
    <font>
      <b/>
      <vertAlign val="superscript"/>
      <sz val="14"/>
      <color indexed="18"/>
      <name val="Arial"/>
      <family val="2"/>
    </font>
    <font>
      <b/>
      <vertAlign val="superscript"/>
      <sz val="12"/>
      <color indexed="18"/>
      <name val="Arial"/>
      <family val="2"/>
    </font>
    <font>
      <sz val="9"/>
      <name val="Arial"/>
      <family val="2"/>
    </font>
    <font>
      <sz val="9"/>
      <color indexed="32"/>
      <name val="Arial"/>
      <family val="2"/>
    </font>
    <font>
      <b/>
      <sz val="11"/>
      <color indexed="18"/>
      <name val="Arial"/>
      <family val="2"/>
    </font>
    <font>
      <b/>
      <sz val="9"/>
      <color indexed="18"/>
      <name val="Arial"/>
      <family val="2"/>
    </font>
    <font>
      <sz val="9"/>
      <color indexed="62"/>
      <name val="Arial"/>
      <family val="2"/>
    </font>
    <font>
      <sz val="8"/>
      <name val="Arial"/>
      <family val="2"/>
    </font>
    <font>
      <vertAlign val="superscript"/>
      <sz val="7"/>
      <color indexed="18"/>
      <name val="Arial"/>
      <family val="2"/>
    </font>
    <font>
      <sz val="7"/>
      <color indexed="18"/>
      <name val="Arial"/>
      <family val="2"/>
    </font>
    <font>
      <sz val="11"/>
      <color indexed="10"/>
      <name val="Arial"/>
    </font>
    <font>
      <b/>
      <sz val="11"/>
      <color indexed="10"/>
      <name val="Arial"/>
      <family val="2"/>
    </font>
    <font>
      <sz val="11"/>
      <color indexed="18"/>
      <name val="Arial"/>
    </font>
    <font>
      <b/>
      <sz val="11"/>
      <color indexed="10"/>
      <name val="Arial"/>
    </font>
    <font>
      <sz val="5"/>
      <color indexed="18"/>
      <name val="Arial"/>
      <family val="2"/>
    </font>
    <font>
      <vertAlign val="superscript"/>
      <sz val="5"/>
      <color indexed="18"/>
      <name val="Arial"/>
      <family val="2"/>
    </font>
    <font>
      <sz val="8"/>
      <color indexed="62"/>
      <name val="Arial"/>
      <family val="2"/>
    </font>
    <font>
      <b/>
      <sz val="8"/>
      <color indexed="18"/>
      <name val="Arial"/>
      <family val="2"/>
    </font>
    <font>
      <b/>
      <sz val="8"/>
      <color indexed="62"/>
      <name val="Arial"/>
      <family val="2"/>
    </font>
    <font>
      <sz val="8"/>
      <color indexed="32"/>
      <name val="Arial"/>
      <family val="2"/>
    </font>
    <font>
      <b/>
      <sz val="8"/>
      <color indexed="23"/>
      <name val="Arial"/>
      <family val="2"/>
    </font>
    <font>
      <b/>
      <sz val="8"/>
      <color indexed="32"/>
      <name val="Arial"/>
      <family val="2"/>
    </font>
    <font>
      <sz val="6"/>
      <color indexed="18"/>
      <name val="Arial"/>
      <family val="2"/>
    </font>
    <font>
      <sz val="6"/>
      <name val="Arial"/>
    </font>
    <font>
      <vertAlign val="superscript"/>
      <sz val="8"/>
      <color indexed="18"/>
      <name val="Arial"/>
      <family val="2"/>
    </font>
    <font>
      <sz val="6"/>
      <color indexed="23"/>
      <name val="Arial"/>
      <family val="2"/>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34"/>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28">
    <xf numFmtId="0" fontId="0" fillId="0" borderId="0" xfId="0"/>
    <xf numFmtId="0" fontId="1" fillId="0" borderId="0" xfId="0" applyFont="1"/>
    <xf numFmtId="0" fontId="2" fillId="0" borderId="0" xfId="0" applyFont="1"/>
    <xf numFmtId="0" fontId="1" fillId="2" borderId="0" xfId="0" applyFont="1" applyFill="1"/>
    <xf numFmtId="0" fontId="3" fillId="0" borderId="0" xfId="0" applyFont="1"/>
    <xf numFmtId="0" fontId="2" fillId="0" borderId="0" xfId="0" applyFont="1" applyFill="1"/>
    <xf numFmtId="0" fontId="1" fillId="2" borderId="0" xfId="0" applyFont="1" applyFill="1" applyAlignment="1">
      <alignment horizontal="right"/>
    </xf>
    <xf numFmtId="0" fontId="2" fillId="0" borderId="0" xfId="0" applyFont="1" applyAlignment="1"/>
    <xf numFmtId="0" fontId="2" fillId="0" borderId="0" xfId="0" applyFont="1" applyAlignment="1">
      <alignment wrapText="1"/>
    </xf>
    <xf numFmtId="0" fontId="5" fillId="2" borderId="0" xfId="0" applyFont="1" applyFill="1" applyAlignment="1">
      <alignment horizontal="center"/>
    </xf>
    <xf numFmtId="49" fontId="3" fillId="0" borderId="0" xfId="0" applyNumberFormat="1" applyFont="1" applyAlignment="1">
      <alignment horizontal="center"/>
    </xf>
    <xf numFmtId="0" fontId="1" fillId="0" borderId="0" xfId="0" applyFont="1" applyAlignment="1">
      <alignment horizontal="center"/>
    </xf>
    <xf numFmtId="0" fontId="10" fillId="0" borderId="0" xfId="0" applyFont="1"/>
    <xf numFmtId="0" fontId="11" fillId="2" borderId="0" xfId="0" applyFont="1" applyFill="1" applyAlignment="1">
      <alignment horizontal="center"/>
    </xf>
    <xf numFmtId="0" fontId="12" fillId="2" borderId="0" xfId="0" applyFont="1" applyFill="1" applyAlignment="1">
      <alignment horizontal="center"/>
    </xf>
    <xf numFmtId="4" fontId="3" fillId="0" borderId="0" xfId="0" applyNumberFormat="1" applyFont="1" applyAlignment="1">
      <alignment horizontal="center"/>
    </xf>
    <xf numFmtId="4" fontId="3" fillId="0" borderId="0" xfId="0" applyNumberFormat="1" applyFont="1" applyAlignment="1" applyProtection="1">
      <alignment horizontal="center"/>
    </xf>
    <xf numFmtId="0" fontId="1" fillId="0" borderId="0" xfId="0" applyFont="1" applyFill="1"/>
    <xf numFmtId="4" fontId="1" fillId="0" borderId="0" xfId="0" applyNumberFormat="1" applyFont="1" applyFill="1" applyProtection="1"/>
    <xf numFmtId="0" fontId="1" fillId="0" borderId="0" xfId="0" applyFont="1" applyFill="1" applyAlignment="1">
      <alignment horizontal="right"/>
    </xf>
    <xf numFmtId="0" fontId="8" fillId="0" borderId="0" xfId="0" applyFont="1" applyFill="1" applyAlignment="1">
      <alignment horizontal="left"/>
    </xf>
    <xf numFmtId="0" fontId="5" fillId="0" borderId="0" xfId="0" applyFont="1" applyFill="1" applyAlignment="1">
      <alignment horizontal="center"/>
    </xf>
    <xf numFmtId="0" fontId="0" fillId="0" borderId="0" xfId="0" applyFill="1" applyAlignment="1">
      <alignment horizontal="center"/>
    </xf>
    <xf numFmtId="0" fontId="2" fillId="0" borderId="0" xfId="0" applyFont="1" applyFill="1" applyBorder="1"/>
    <xf numFmtId="0" fontId="4" fillId="0" borderId="0" xfId="0" applyFont="1" applyFill="1" applyAlignment="1">
      <alignment horizontal="center"/>
    </xf>
    <xf numFmtId="4" fontId="6" fillId="0" borderId="0" xfId="0" applyNumberFormat="1" applyFont="1" applyFill="1" applyAlignment="1">
      <alignment horizontal="center"/>
    </xf>
    <xf numFmtId="0" fontId="7" fillId="0" borderId="1" xfId="0" applyFont="1" applyBorder="1" applyAlignment="1">
      <alignment horizontal="left" vertical="top" indent="1"/>
    </xf>
    <xf numFmtId="0" fontId="0" fillId="0" borderId="0" xfId="0" applyBorder="1" applyAlignment="1">
      <alignment vertical="top"/>
    </xf>
    <xf numFmtId="0" fontId="0" fillId="0" borderId="2" xfId="0" applyBorder="1" applyAlignment="1">
      <alignment vertical="top"/>
    </xf>
    <xf numFmtId="0" fontId="1" fillId="0" borderId="0" xfId="0" applyFont="1" applyFill="1" applyAlignment="1">
      <alignment horizontal="center"/>
    </xf>
    <xf numFmtId="0" fontId="13" fillId="0" borderId="0" xfId="0" applyFont="1"/>
    <xf numFmtId="0" fontId="15" fillId="2" borderId="0" xfId="0" applyFont="1" applyFill="1"/>
    <xf numFmtId="0" fontId="16" fillId="0" borderId="0" xfId="0" applyFont="1"/>
    <xf numFmtId="164" fontId="14" fillId="3" borderId="0" xfId="0" applyNumberFormat="1" applyFont="1" applyFill="1" applyAlignment="1">
      <alignment horizontal="center"/>
    </xf>
    <xf numFmtId="0" fontId="17" fillId="2" borderId="0" xfId="0" applyFont="1" applyFill="1" applyAlignment="1">
      <alignment horizontal="center"/>
    </xf>
    <xf numFmtId="0" fontId="17" fillId="4" borderId="0" xfId="0" applyFont="1" applyFill="1" applyAlignment="1">
      <alignment horizontal="center"/>
    </xf>
    <xf numFmtId="0" fontId="17" fillId="2" borderId="0" xfId="0" applyFont="1" applyFill="1" applyAlignment="1">
      <alignment horizontal="left"/>
    </xf>
    <xf numFmtId="0" fontId="15" fillId="2" borderId="0" xfId="0" applyFont="1" applyFill="1" applyAlignment="1">
      <alignment horizontal="center"/>
    </xf>
    <xf numFmtId="0" fontId="15" fillId="2" borderId="0" xfId="0" applyFont="1" applyFill="1" applyBorder="1" applyAlignment="1">
      <alignment horizontal="center"/>
    </xf>
    <xf numFmtId="0" fontId="17" fillId="2" borderId="0" xfId="0" applyFont="1" applyFill="1" applyAlignment="1">
      <alignment horizontal="right"/>
    </xf>
    <xf numFmtId="4" fontId="16" fillId="0" borderId="0" xfId="0" applyNumberFormat="1" applyFont="1"/>
    <xf numFmtId="0" fontId="17" fillId="0" borderId="0" xfId="0" applyFont="1"/>
    <xf numFmtId="0" fontId="18" fillId="0" borderId="0" xfId="0" applyFont="1" applyFill="1"/>
    <xf numFmtId="0" fontId="18" fillId="0" borderId="0" xfId="0" applyFont="1"/>
    <xf numFmtId="0" fontId="21" fillId="0" borderId="0" xfId="0" applyFont="1"/>
    <xf numFmtId="4" fontId="22" fillId="0" borderId="0" xfId="0" applyNumberFormat="1" applyFont="1"/>
    <xf numFmtId="0" fontId="19" fillId="2" borderId="0" xfId="0" applyFont="1" applyFill="1" applyBorder="1" applyAlignment="1">
      <alignment horizontal="left"/>
    </xf>
    <xf numFmtId="0" fontId="19" fillId="2" borderId="0" xfId="0" applyFont="1" applyFill="1" applyAlignment="1">
      <alignment horizontal="left"/>
    </xf>
    <xf numFmtId="0" fontId="16" fillId="2" borderId="0" xfId="0" applyFont="1" applyFill="1"/>
    <xf numFmtId="0" fontId="16" fillId="0" borderId="0" xfId="0" applyFont="1" applyAlignment="1">
      <alignment horizontal="center"/>
    </xf>
    <xf numFmtId="0" fontId="23" fillId="0" borderId="0" xfId="0" applyFont="1" applyAlignment="1">
      <alignment horizontal="center"/>
    </xf>
    <xf numFmtId="10" fontId="23" fillId="0" borderId="0" xfId="0" applyNumberFormat="1" applyFont="1" applyAlignment="1">
      <alignment horizontal="left"/>
    </xf>
    <xf numFmtId="4" fontId="18" fillId="0" borderId="0" xfId="0" applyNumberFormat="1" applyFont="1" applyFill="1" applyProtection="1"/>
    <xf numFmtId="49" fontId="25" fillId="0" borderId="0" xfId="0" applyNumberFormat="1" applyFont="1" applyAlignment="1">
      <alignment horizontal="center"/>
    </xf>
    <xf numFmtId="0" fontId="1" fillId="2" borderId="0" xfId="0" applyFont="1" applyFill="1" applyAlignment="1">
      <alignment horizontal="center"/>
    </xf>
    <xf numFmtId="0" fontId="26" fillId="3" borderId="0" xfId="0" applyFont="1" applyFill="1" applyBorder="1"/>
    <xf numFmtId="165" fontId="32" fillId="0" borderId="0" xfId="0" applyNumberFormat="1" applyFont="1" applyAlignment="1">
      <alignment horizontal="right"/>
    </xf>
    <xf numFmtId="4" fontId="15" fillId="0" borderId="0" xfId="0" applyNumberFormat="1" applyFont="1" applyFill="1" applyProtection="1"/>
    <xf numFmtId="166" fontId="15" fillId="3" borderId="0" xfId="0" applyNumberFormat="1" applyFont="1" applyFill="1" applyBorder="1" applyAlignment="1" applyProtection="1">
      <alignment horizontal="center"/>
      <protection locked="0"/>
    </xf>
    <xf numFmtId="0" fontId="26" fillId="0" borderId="0" xfId="0" applyFont="1"/>
    <xf numFmtId="0" fontId="33" fillId="2" borderId="0" xfId="0" applyFont="1" applyFill="1" applyBorder="1" applyAlignment="1">
      <alignment horizontal="left"/>
    </xf>
    <xf numFmtId="0" fontId="30" fillId="2" borderId="0" xfId="0" applyFont="1" applyFill="1" applyAlignment="1">
      <alignment horizontal="center"/>
    </xf>
    <xf numFmtId="0" fontId="30" fillId="4" borderId="0" xfId="0" applyFont="1" applyFill="1" applyAlignment="1">
      <alignment horizontal="center"/>
    </xf>
    <xf numFmtId="0" fontId="33" fillId="2" borderId="0" xfId="0" applyFont="1" applyFill="1" applyAlignment="1">
      <alignment horizontal="left"/>
    </xf>
    <xf numFmtId="0" fontId="30" fillId="2" borderId="0" xfId="0" applyFont="1" applyFill="1" applyAlignment="1">
      <alignment horizontal="left"/>
    </xf>
    <xf numFmtId="0" fontId="33" fillId="2" borderId="0" xfId="0" applyFont="1" applyFill="1" applyAlignment="1">
      <alignment horizontal="center"/>
    </xf>
    <xf numFmtId="0" fontId="33" fillId="2" borderId="0" xfId="0" applyFont="1" applyFill="1" applyBorder="1" applyAlignment="1">
      <alignment horizontal="center"/>
    </xf>
    <xf numFmtId="0" fontId="30" fillId="2" borderId="0" xfId="0" applyFont="1" applyFill="1" applyAlignment="1">
      <alignment horizontal="right"/>
    </xf>
    <xf numFmtId="0" fontId="19" fillId="2" borderId="0" xfId="0" applyFont="1" applyFill="1"/>
    <xf numFmtId="0" fontId="20" fillId="0" borderId="0" xfId="0" applyFont="1"/>
    <xf numFmtId="164" fontId="19" fillId="3" borderId="0" xfId="0" applyNumberFormat="1" applyFont="1" applyFill="1" applyProtection="1">
      <protection locked="0"/>
    </xf>
    <xf numFmtId="0" fontId="35" fillId="2" borderId="0" xfId="0" applyFont="1" applyFill="1" applyAlignment="1">
      <alignment horizontal="center"/>
    </xf>
    <xf numFmtId="4" fontId="31" fillId="0" borderId="0" xfId="0" applyNumberFormat="1" applyFont="1"/>
    <xf numFmtId="164" fontId="31" fillId="0" borderId="0" xfId="0" applyNumberFormat="1" applyFont="1"/>
    <xf numFmtId="0" fontId="35" fillId="0" borderId="0" xfId="0" applyFont="1" applyBorder="1" applyAlignment="1">
      <alignment vertical="top"/>
    </xf>
    <xf numFmtId="0" fontId="18" fillId="2" borderId="0" xfId="0" applyFont="1" applyFill="1"/>
    <xf numFmtId="0" fontId="34" fillId="0" borderId="0" xfId="0" applyFont="1"/>
    <xf numFmtId="0" fontId="35" fillId="2" borderId="0" xfId="0" applyFont="1" applyFill="1" applyAlignment="1">
      <alignment horizontal="right"/>
    </xf>
    <xf numFmtId="0" fontId="14" fillId="0" borderId="0" xfId="0" applyFont="1"/>
    <xf numFmtId="165" fontId="14" fillId="0" borderId="0" xfId="0" applyNumberFormat="1" applyFont="1"/>
    <xf numFmtId="0" fontId="38" fillId="4" borderId="0" xfId="0" applyFont="1" applyFill="1"/>
    <xf numFmtId="164" fontId="39" fillId="4" borderId="0" xfId="0" applyNumberFormat="1" applyFont="1" applyFill="1"/>
    <xf numFmtId="0" fontId="40" fillId="0" borderId="0" xfId="0" applyFont="1"/>
    <xf numFmtId="164" fontId="41" fillId="4" borderId="0" xfId="0" applyNumberFormat="1" applyFont="1" applyFill="1"/>
    <xf numFmtId="0" fontId="36" fillId="0" borderId="0" xfId="0" applyFont="1"/>
    <xf numFmtId="4" fontId="44" fillId="0" borderId="0" xfId="0" applyNumberFormat="1" applyFont="1"/>
    <xf numFmtId="0" fontId="45" fillId="0" borderId="0" xfId="0" applyFont="1"/>
    <xf numFmtId="4" fontId="14" fillId="0" borderId="0" xfId="0" applyNumberFormat="1" applyFont="1"/>
    <xf numFmtId="0" fontId="14" fillId="0" borderId="0" xfId="0" applyFont="1" applyFill="1"/>
    <xf numFmtId="2" fontId="14" fillId="0" borderId="0" xfId="0" applyNumberFormat="1" applyFont="1" applyFill="1"/>
    <xf numFmtId="4" fontId="14" fillId="0" borderId="0" xfId="0" applyNumberFormat="1" applyFont="1" applyAlignment="1">
      <alignment horizontal="right"/>
    </xf>
    <xf numFmtId="0" fontId="14" fillId="0" borderId="0" xfId="0" applyFont="1" applyBorder="1" applyAlignment="1">
      <alignment horizontal="left" vertical="top" indent="1"/>
    </xf>
    <xf numFmtId="4" fontId="44" fillId="0" borderId="0" xfId="0" applyNumberFormat="1" applyFont="1" applyBorder="1" applyAlignment="1">
      <alignment vertical="top"/>
    </xf>
    <xf numFmtId="4" fontId="46" fillId="0" borderId="0" xfId="0" applyNumberFormat="1" applyFont="1"/>
    <xf numFmtId="4" fontId="45" fillId="0" borderId="0" xfId="0" applyNumberFormat="1" applyFont="1"/>
    <xf numFmtId="4" fontId="47" fillId="0" borderId="0" xfId="0" applyNumberFormat="1" applyFont="1" applyAlignment="1">
      <alignment horizontal="right"/>
    </xf>
    <xf numFmtId="49" fontId="48" fillId="0" borderId="0" xfId="0" applyNumberFormat="1" applyFont="1" applyAlignment="1">
      <alignment horizontal="center"/>
    </xf>
    <xf numFmtId="4" fontId="49" fillId="0" borderId="0" xfId="0" applyNumberFormat="1" applyFont="1"/>
    <xf numFmtId="4" fontId="47" fillId="0" borderId="0" xfId="0" applyNumberFormat="1" applyFont="1"/>
    <xf numFmtId="165" fontId="47" fillId="0" borderId="0" xfId="0" applyNumberFormat="1" applyFont="1" applyAlignment="1">
      <alignment horizontal="left"/>
    </xf>
    <xf numFmtId="4" fontId="47" fillId="0" borderId="0" xfId="0" applyNumberFormat="1" applyFont="1" applyBorder="1" applyAlignment="1">
      <alignment horizontal="right" vertical="top"/>
    </xf>
    <xf numFmtId="0" fontId="47" fillId="0" borderId="0" xfId="0" applyFont="1" applyBorder="1" applyAlignment="1">
      <alignment vertical="top"/>
    </xf>
    <xf numFmtId="0" fontId="51" fillId="5" borderId="0" xfId="0" applyFont="1" applyFill="1" applyAlignment="1">
      <alignment wrapText="1"/>
    </xf>
    <xf numFmtId="0" fontId="51" fillId="4" borderId="0" xfId="0" applyFont="1" applyFill="1"/>
    <xf numFmtId="0" fontId="51" fillId="0" borderId="0" xfId="0" applyFont="1"/>
    <xf numFmtId="4" fontId="51" fillId="2" borderId="0" xfId="0" applyNumberFormat="1" applyFont="1" applyFill="1"/>
    <xf numFmtId="0" fontId="51" fillId="2" borderId="0" xfId="0" applyFont="1" applyFill="1"/>
    <xf numFmtId="0" fontId="51" fillId="6" borderId="0" xfId="0" applyFont="1" applyFill="1"/>
    <xf numFmtId="0" fontId="51" fillId="6" borderId="0" xfId="0" applyFont="1" applyFill="1" applyAlignment="1">
      <alignment wrapText="1"/>
    </xf>
    <xf numFmtId="49" fontId="53" fillId="0" borderId="0" xfId="0" applyNumberFormat="1" applyFont="1" applyAlignment="1">
      <alignment horizontal="center"/>
    </xf>
    <xf numFmtId="4" fontId="14" fillId="0" borderId="0" xfId="0" applyNumberFormat="1" applyFont="1" applyFill="1" applyProtection="1"/>
    <xf numFmtId="0" fontId="35" fillId="0" borderId="0" xfId="0" applyFont="1"/>
    <xf numFmtId="0" fontId="1" fillId="0" borderId="0" xfId="0" applyFont="1" applyFill="1" applyAlignment="1">
      <alignment horizontal="center"/>
    </xf>
    <xf numFmtId="0" fontId="42" fillId="0" borderId="0" xfId="0" applyFont="1" applyAlignment="1">
      <alignment horizontal="left" wrapText="1"/>
    </xf>
    <xf numFmtId="0" fontId="0" fillId="0" borderId="0" xfId="0" applyAlignment="1">
      <alignment horizontal="left" wrapText="1"/>
    </xf>
    <xf numFmtId="0" fontId="36" fillId="0" borderId="0" xfId="0" applyFont="1" applyAlignment="1">
      <alignment horizontal="left" wrapText="1"/>
    </xf>
    <xf numFmtId="0" fontId="19" fillId="0" borderId="0" xfId="0" applyFont="1" applyAlignment="1">
      <alignment horizontal="center"/>
    </xf>
    <xf numFmtId="0" fontId="16" fillId="2" borderId="0" xfId="0" applyFont="1" applyFill="1" applyAlignment="1">
      <alignment horizontal="center"/>
    </xf>
    <xf numFmtId="0" fontId="14" fillId="0" borderId="0" xfId="0" applyFont="1" applyAlignment="1">
      <alignment horizontal="center"/>
    </xf>
    <xf numFmtId="0" fontId="26" fillId="0" borderId="0" xfId="0" applyFont="1" applyAlignment="1">
      <alignment horizontal="center"/>
    </xf>
    <xf numFmtId="0" fontId="36" fillId="0" borderId="0" xfId="0" applyFont="1" applyAlignment="1">
      <alignment horizontal="justify" wrapText="1"/>
    </xf>
    <xf numFmtId="0" fontId="7" fillId="0" borderId="1" xfId="0" applyFont="1" applyBorder="1" applyAlignment="1">
      <alignment vertical="top" wrapText="1"/>
    </xf>
    <xf numFmtId="0" fontId="0" fillId="0" borderId="0" xfId="0" applyBorder="1" applyAlignment="1">
      <alignment wrapText="1"/>
    </xf>
    <xf numFmtId="0" fontId="7" fillId="0" borderId="0" xfId="0" applyFont="1" applyBorder="1" applyAlignment="1">
      <alignment vertical="top" wrapText="1"/>
    </xf>
    <xf numFmtId="0" fontId="27" fillId="2" borderId="0" xfId="0" applyFont="1" applyFill="1" applyAlignment="1">
      <alignment horizontal="center"/>
    </xf>
    <xf numFmtId="0" fontId="7" fillId="0" borderId="0" xfId="0" applyFont="1" applyAlignment="1">
      <alignment horizontal="center"/>
    </xf>
    <xf numFmtId="0" fontId="1" fillId="2" borderId="0" xfId="0" applyFont="1" applyFill="1" applyAlignment="1">
      <alignment horizontal="center"/>
    </xf>
    <xf numFmtId="0" fontId="9" fillId="0" borderId="0"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10"/>
    <pageSetUpPr fitToPage="1"/>
  </sheetPr>
  <dimension ref="A1:L39"/>
  <sheetViews>
    <sheetView showGridLines="0" showRowColHeaders="0" showZeros="0" tabSelected="1" showOutlineSymbols="0" zoomScale="130" zoomScaleNormal="130" workbookViewId="0">
      <selection activeCell="B4" sqref="B4"/>
    </sheetView>
  </sheetViews>
  <sheetFormatPr baseColWidth="10" defaultRowHeight="15" x14ac:dyDescent="0.2"/>
  <cols>
    <col min="1" max="1" width="31.5703125" style="2" customWidth="1"/>
    <col min="2" max="2" width="19.7109375" style="2" customWidth="1"/>
    <col min="3" max="3" width="16.85546875" style="2" customWidth="1"/>
    <col min="4" max="4" width="3.28515625" style="2" customWidth="1"/>
    <col min="5" max="5" width="25.85546875" style="2" customWidth="1"/>
    <col min="6" max="6" width="14.42578125" style="2" customWidth="1"/>
    <col min="7" max="7" width="15.5703125" style="2" customWidth="1"/>
    <col min="8" max="8" width="13" style="2" customWidth="1"/>
    <col min="9" max="10" width="14.7109375" style="2" customWidth="1"/>
    <col min="11" max="16384" width="11.42578125" style="2"/>
  </cols>
  <sheetData>
    <row r="1" spans="1:12" s="5" customFormat="1" ht="23.25" customHeight="1" x14ac:dyDescent="0.3">
      <c r="A1" s="117" t="s">
        <v>79</v>
      </c>
      <c r="B1" s="117"/>
      <c r="C1" s="117"/>
      <c r="D1" s="117"/>
      <c r="E1" s="117"/>
      <c r="F1" s="117"/>
      <c r="G1" s="117"/>
      <c r="H1" s="21"/>
      <c r="I1" s="21"/>
      <c r="J1" s="21"/>
      <c r="K1" s="21"/>
    </row>
    <row r="2" spans="1:12" s="5" customFormat="1" ht="14.25" customHeight="1" x14ac:dyDescent="0.2">
      <c r="A2" s="116" t="s">
        <v>77</v>
      </c>
      <c r="B2" s="116"/>
      <c r="C2" s="116"/>
      <c r="D2" s="116"/>
      <c r="E2" s="116"/>
      <c r="F2" s="116"/>
      <c r="G2" s="116"/>
    </row>
    <row r="3" spans="1:12" s="5" customFormat="1" ht="15.75" x14ac:dyDescent="0.25">
      <c r="A3" s="31" t="s">
        <v>4</v>
      </c>
      <c r="B3" s="30"/>
      <c r="C3" s="32"/>
      <c r="D3" s="32"/>
      <c r="E3" s="32"/>
      <c r="F3" s="32"/>
      <c r="G3" s="32"/>
    </row>
    <row r="4" spans="1:12" s="5" customFormat="1" x14ac:dyDescent="0.2">
      <c r="A4" s="42" t="s">
        <v>5</v>
      </c>
      <c r="B4" s="70">
        <v>100000</v>
      </c>
      <c r="C4" s="33" t="s">
        <v>6</v>
      </c>
      <c r="D4" s="32"/>
      <c r="E4" s="32"/>
      <c r="F4" s="32"/>
      <c r="G4" s="32"/>
    </row>
    <row r="5" spans="1:12" s="5" customFormat="1" x14ac:dyDescent="0.2">
      <c r="A5" s="88" t="s">
        <v>1</v>
      </c>
      <c r="B5" s="110">
        <f>IF($B$4&gt;60000000,60000000,$B$4)</f>
        <v>100000</v>
      </c>
      <c r="C5" s="110"/>
      <c r="D5" s="78"/>
      <c r="E5" s="110">
        <f>IF($B$4&gt;30000000,30000000,$B$4)</f>
        <v>100000</v>
      </c>
      <c r="F5" s="78"/>
      <c r="G5" s="78"/>
    </row>
    <row r="6" spans="1:12" s="23" customFormat="1" ht="15.75" x14ac:dyDescent="0.25">
      <c r="A6" s="60" t="s">
        <v>7</v>
      </c>
      <c r="B6" s="61"/>
      <c r="C6" s="61"/>
      <c r="D6" s="62"/>
      <c r="E6" s="63" t="s">
        <v>9</v>
      </c>
      <c r="F6" s="64"/>
      <c r="G6" s="65"/>
      <c r="H6" s="22"/>
      <c r="I6" s="112"/>
      <c r="J6" s="112"/>
      <c r="K6" s="22"/>
    </row>
    <row r="7" spans="1:12" s="23" customFormat="1" ht="15.75" x14ac:dyDescent="0.25">
      <c r="A7" s="66"/>
      <c r="B7" s="71" t="s">
        <v>3</v>
      </c>
      <c r="C7" s="67" t="s">
        <v>8</v>
      </c>
      <c r="D7" s="62"/>
      <c r="E7" s="61"/>
      <c r="F7" s="71" t="s">
        <v>3</v>
      </c>
      <c r="G7" s="67" t="s">
        <v>8</v>
      </c>
      <c r="H7" s="22"/>
      <c r="I7" s="29"/>
      <c r="J7" s="29"/>
      <c r="K7" s="22"/>
    </row>
    <row r="8" spans="1:12" s="5" customFormat="1" ht="12" customHeight="1" x14ac:dyDescent="0.25">
      <c r="A8" s="78" t="s">
        <v>54</v>
      </c>
      <c r="B8" s="53" t="s">
        <v>45</v>
      </c>
      <c r="C8" s="85">
        <f>IF(B4=0,0,IF((Rechentabelle!$A$35)*2&lt;120,120,(Rechentabelle!$A$35)*2))</f>
        <v>546</v>
      </c>
      <c r="D8" s="86"/>
      <c r="E8" s="78" t="s">
        <v>10</v>
      </c>
      <c r="F8" s="53" t="s">
        <v>46</v>
      </c>
      <c r="G8" s="87">
        <f>(Rechentabelle!$A$35)/2</f>
        <v>136.5</v>
      </c>
      <c r="H8" s="17"/>
      <c r="I8" s="17"/>
      <c r="J8" s="17"/>
    </row>
    <row r="9" spans="1:12" s="5" customFormat="1" ht="12" customHeight="1" x14ac:dyDescent="0.25">
      <c r="A9" s="88" t="s">
        <v>55</v>
      </c>
      <c r="B9" s="53" t="s">
        <v>46</v>
      </c>
      <c r="C9" s="85">
        <f>(Rechentabelle!$A$35)*0.5</f>
        <v>136.5</v>
      </c>
      <c r="D9" s="86"/>
      <c r="E9" s="78" t="s">
        <v>11</v>
      </c>
      <c r="F9" s="53" t="s">
        <v>47</v>
      </c>
      <c r="G9" s="87">
        <f>(Rechentabelle!$A$35)</f>
        <v>273</v>
      </c>
      <c r="H9" s="17"/>
      <c r="I9" s="24"/>
      <c r="J9" s="24"/>
    </row>
    <row r="10" spans="1:12" s="5" customFormat="1" ht="12" customHeight="1" x14ac:dyDescent="0.25">
      <c r="A10" s="88" t="s">
        <v>56</v>
      </c>
      <c r="B10" s="53" t="s">
        <v>46</v>
      </c>
      <c r="C10" s="85">
        <f>(Rechentabelle!$A$35)*0.5</f>
        <v>136.5</v>
      </c>
      <c r="D10" s="86"/>
      <c r="E10" s="78"/>
      <c r="F10" s="53"/>
      <c r="G10" s="87"/>
      <c r="H10" s="17"/>
      <c r="I10" s="24"/>
      <c r="J10" s="24"/>
    </row>
    <row r="11" spans="1:12" s="5" customFormat="1" ht="12" customHeight="1" x14ac:dyDescent="0.25">
      <c r="A11" s="88" t="s">
        <v>57</v>
      </c>
      <c r="B11" s="109" t="s">
        <v>49</v>
      </c>
      <c r="C11" s="89">
        <v>20</v>
      </c>
      <c r="D11" s="86"/>
      <c r="E11" s="78"/>
      <c r="F11" s="53"/>
      <c r="G11" s="87"/>
      <c r="H11" s="17"/>
      <c r="I11" s="24"/>
      <c r="J11" s="24"/>
    </row>
    <row r="12" spans="1:12" s="5" customFormat="1" ht="12" customHeight="1" x14ac:dyDescent="0.2">
      <c r="A12" s="78" t="s">
        <v>58</v>
      </c>
      <c r="B12" s="78"/>
      <c r="C12" s="85">
        <f>(IF((Rechentabelle!$A$35)*0.2&gt;20,20,(Rechentabelle!$A$35)*0.2))</f>
        <v>20</v>
      </c>
      <c r="D12" s="78"/>
      <c r="E12" s="78" t="s">
        <v>12</v>
      </c>
      <c r="F12" s="53"/>
      <c r="G12" s="90">
        <f>IF(G8=0,0,0)</f>
        <v>0</v>
      </c>
    </row>
    <row r="13" spans="1:12" s="5" customFormat="1" ht="12" customHeight="1" x14ac:dyDescent="0.2">
      <c r="A13" s="78" t="s">
        <v>59</v>
      </c>
      <c r="B13" s="78"/>
      <c r="C13" s="85">
        <v>16</v>
      </c>
      <c r="D13" s="78"/>
      <c r="E13" s="78"/>
      <c r="F13" s="53"/>
      <c r="G13" s="90"/>
    </row>
    <row r="14" spans="1:12" s="8" customFormat="1" ht="12" customHeight="1" x14ac:dyDescent="0.2">
      <c r="A14" s="91" t="s">
        <v>32</v>
      </c>
      <c r="B14" s="74"/>
      <c r="C14" s="92">
        <f>(SUM(C8:C13))*0.19</f>
        <v>166.25</v>
      </c>
      <c r="D14" s="74"/>
      <c r="E14" s="74"/>
      <c r="F14" s="74"/>
      <c r="G14" s="74"/>
      <c r="H14" s="27"/>
      <c r="I14" s="27"/>
      <c r="J14" s="27"/>
      <c r="K14" s="28"/>
    </row>
    <row r="15" spans="1:12" s="8" customFormat="1" ht="15" customHeight="1" x14ac:dyDescent="0.2">
      <c r="A15" s="78" t="s">
        <v>13</v>
      </c>
      <c r="B15" s="78"/>
      <c r="C15" s="93">
        <f>SUM(C8:C14)</f>
        <v>1041.25</v>
      </c>
      <c r="D15" s="78"/>
      <c r="E15" s="78" t="s">
        <v>13</v>
      </c>
      <c r="F15" s="78"/>
      <c r="G15" s="94">
        <f>SUM(G8:G14)</f>
        <v>409.5</v>
      </c>
      <c r="H15" s="2"/>
      <c r="I15" s="2"/>
      <c r="J15" s="2"/>
      <c r="K15" s="2"/>
      <c r="L15" s="2"/>
    </row>
    <row r="16" spans="1:12" s="8" customFormat="1" ht="15" customHeight="1" x14ac:dyDescent="0.2">
      <c r="A16" s="32"/>
      <c r="B16" s="32"/>
      <c r="C16" s="44"/>
      <c r="D16" s="32"/>
      <c r="E16" s="118"/>
      <c r="F16" s="118"/>
      <c r="G16" s="118"/>
      <c r="H16" s="2"/>
      <c r="I16" s="2"/>
      <c r="J16" s="2"/>
      <c r="K16" s="2"/>
      <c r="L16" s="2"/>
    </row>
    <row r="17" spans="1:7" x14ac:dyDescent="0.2">
      <c r="A17" s="68" t="s">
        <v>14</v>
      </c>
      <c r="B17" s="43"/>
      <c r="C17" s="69"/>
      <c r="D17" s="32"/>
      <c r="E17" s="32"/>
      <c r="F17" s="32"/>
      <c r="G17" s="32"/>
    </row>
    <row r="18" spans="1:7" x14ac:dyDescent="0.2">
      <c r="A18" s="42" t="s">
        <v>15</v>
      </c>
      <c r="B18" s="70">
        <v>0</v>
      </c>
      <c r="C18" s="33" t="s">
        <v>6</v>
      </c>
      <c r="D18" s="32"/>
      <c r="E18" s="32"/>
      <c r="F18" s="32"/>
      <c r="G18" s="32"/>
    </row>
    <row r="19" spans="1:7" customFormat="1" ht="12.75" x14ac:dyDescent="0.2">
      <c r="A19" s="88" t="s">
        <v>1</v>
      </c>
      <c r="B19" s="110">
        <f>IF($B$18&gt;60000000,60000000,$B$18)</f>
        <v>0</v>
      </c>
      <c r="C19" s="111"/>
      <c r="D19" s="111"/>
      <c r="E19" s="110">
        <f>IF($B$18&gt;30000000,30000000,$18:$18+$B:$B)</f>
        <v>0</v>
      </c>
      <c r="F19" s="111"/>
      <c r="G19" s="41"/>
    </row>
    <row r="20" spans="1:7" ht="15.75" x14ac:dyDescent="0.25">
      <c r="A20" s="60" t="s">
        <v>7</v>
      </c>
      <c r="B20" s="34"/>
      <c r="C20" s="34"/>
      <c r="D20" s="35"/>
      <c r="E20" s="47" t="s">
        <v>9</v>
      </c>
      <c r="F20" s="36"/>
      <c r="G20" s="37"/>
    </row>
    <row r="21" spans="1:7" x14ac:dyDescent="0.2">
      <c r="A21" s="66"/>
      <c r="B21" s="71" t="s">
        <v>3</v>
      </c>
      <c r="C21" s="67" t="s">
        <v>8</v>
      </c>
      <c r="D21" s="35"/>
      <c r="E21" s="34"/>
      <c r="F21" s="71" t="s">
        <v>3</v>
      </c>
      <c r="G21" s="39" t="s">
        <v>8</v>
      </c>
    </row>
    <row r="22" spans="1:7" ht="12" customHeight="1" x14ac:dyDescent="0.2">
      <c r="A22" s="78" t="s">
        <v>60</v>
      </c>
      <c r="B22" s="53" t="s">
        <v>47</v>
      </c>
      <c r="C22" s="85">
        <f>IF(B18=0,0,IF((Rechentabelle!$A$51)*1&lt;120,120,(Rechentabelle!$A$51)*1))</f>
        <v>0</v>
      </c>
      <c r="D22" s="86"/>
      <c r="E22" s="78" t="s">
        <v>16</v>
      </c>
      <c r="F22" s="53" t="s">
        <v>47</v>
      </c>
      <c r="G22" s="95">
        <f>(Rechentabelle!$A$51)</f>
        <v>0</v>
      </c>
    </row>
    <row r="23" spans="1:7" ht="12" customHeight="1" x14ac:dyDescent="0.2">
      <c r="A23" s="88" t="s">
        <v>61</v>
      </c>
      <c r="B23" s="53" t="s">
        <v>46</v>
      </c>
      <c r="C23" s="95">
        <f>(IF($C$22=0,0,(Rechentabelle!$A$51)*0.5))</f>
        <v>0</v>
      </c>
      <c r="D23" s="86"/>
      <c r="E23" s="86"/>
      <c r="F23" s="96"/>
      <c r="G23" s="97"/>
    </row>
    <row r="24" spans="1:7" ht="12" customHeight="1" x14ac:dyDescent="0.2">
      <c r="A24" s="88" t="s">
        <v>62</v>
      </c>
      <c r="B24" s="78"/>
      <c r="C24" s="98">
        <f>IF(C22=0,0,5)</f>
        <v>0</v>
      </c>
      <c r="D24" s="78"/>
      <c r="E24" s="78"/>
      <c r="F24" s="96"/>
      <c r="G24" s="97"/>
    </row>
    <row r="25" spans="1:7" ht="12" customHeight="1" x14ac:dyDescent="0.2">
      <c r="A25" s="78" t="s">
        <v>58</v>
      </c>
      <c r="B25" s="78"/>
      <c r="C25" s="85">
        <f>(IF((Rechentabelle!$A$51)*0.2&gt;20,20,(Rechentabelle!$A$51)*0.2))</f>
        <v>0</v>
      </c>
      <c r="D25" s="78"/>
      <c r="E25" s="78"/>
      <c r="F25" s="96"/>
      <c r="G25" s="97"/>
    </row>
    <row r="26" spans="1:7" ht="12" customHeight="1" x14ac:dyDescent="0.2">
      <c r="A26" s="78" t="s">
        <v>63</v>
      </c>
      <c r="B26" s="53" t="s">
        <v>48</v>
      </c>
      <c r="C26" s="99">
        <f>(Rechentabelle!$A$51)*0.3</f>
        <v>0</v>
      </c>
      <c r="D26" s="78"/>
      <c r="E26" s="78"/>
      <c r="F26" s="96"/>
      <c r="G26" s="97"/>
    </row>
    <row r="27" spans="1:7" ht="12" customHeight="1" x14ac:dyDescent="0.2">
      <c r="A27" s="91" t="s">
        <v>32</v>
      </c>
      <c r="B27" s="74"/>
      <c r="C27" s="100">
        <f>SUM(C22,C23,C24)*0.19</f>
        <v>0</v>
      </c>
      <c r="D27" s="74"/>
      <c r="E27" s="74"/>
      <c r="F27" s="74"/>
      <c r="G27" s="101"/>
    </row>
    <row r="28" spans="1:7" hidden="1" x14ac:dyDescent="0.2">
      <c r="A28" s="91"/>
      <c r="B28" s="74"/>
      <c r="C28" s="100"/>
      <c r="D28" s="74"/>
      <c r="E28" s="74"/>
      <c r="F28" s="74"/>
      <c r="G28" s="101"/>
    </row>
    <row r="29" spans="1:7" x14ac:dyDescent="0.2">
      <c r="A29" s="78" t="s">
        <v>13</v>
      </c>
      <c r="B29" s="78"/>
      <c r="C29" s="97">
        <f>SUM(C22,C23,C27)</f>
        <v>0</v>
      </c>
      <c r="D29" s="78"/>
      <c r="E29" s="78" t="s">
        <v>13</v>
      </c>
      <c r="F29" s="78"/>
      <c r="G29" s="97">
        <f>SUM(G22:G27)</f>
        <v>0</v>
      </c>
    </row>
    <row r="30" spans="1:7" x14ac:dyDescent="0.2">
      <c r="A30" s="43"/>
      <c r="B30" s="32"/>
      <c r="C30" s="72"/>
      <c r="D30" s="32"/>
      <c r="E30" s="43"/>
      <c r="F30" s="32"/>
      <c r="G30" s="45"/>
    </row>
    <row r="31" spans="1:7" ht="12" customHeight="1" x14ac:dyDescent="0.2">
      <c r="A31" s="75" t="s">
        <v>17</v>
      </c>
      <c r="B31" s="32"/>
      <c r="C31" s="73">
        <f>SUM(C15,C29)</f>
        <v>1041.25</v>
      </c>
      <c r="D31" s="49"/>
      <c r="E31" s="43"/>
      <c r="F31" s="32"/>
      <c r="G31" s="40"/>
    </row>
    <row r="32" spans="1:7" ht="12" customHeight="1" x14ac:dyDescent="0.2">
      <c r="A32" s="75" t="s">
        <v>18</v>
      </c>
      <c r="B32" s="32"/>
      <c r="C32" s="73">
        <f>SUM(G15,G29)</f>
        <v>409.5</v>
      </c>
      <c r="D32" s="49"/>
      <c r="E32" s="43"/>
      <c r="F32" s="32"/>
      <c r="G32" s="40"/>
    </row>
    <row r="33" spans="1:7" ht="12" customHeight="1" x14ac:dyDescent="0.2">
      <c r="A33" s="75" t="s">
        <v>73</v>
      </c>
      <c r="B33" s="32"/>
      <c r="C33" s="73">
        <f>$B$4*0.065</f>
        <v>6500</v>
      </c>
      <c r="D33" s="49"/>
      <c r="E33" s="43"/>
      <c r="F33" s="32"/>
      <c r="G33" s="32"/>
    </row>
    <row r="34" spans="1:7" ht="15.75" x14ac:dyDescent="0.25">
      <c r="A34" s="80" t="s">
        <v>19</v>
      </c>
      <c r="B34" s="82"/>
      <c r="C34" s="83">
        <f>SUM($C$31,$C$32,$C$33)</f>
        <v>7950.75</v>
      </c>
      <c r="D34" s="50" t="s">
        <v>20</v>
      </c>
      <c r="E34" s="51">
        <f>C34/B4</f>
        <v>7.9507499999999995E-2</v>
      </c>
    </row>
    <row r="35" spans="1:7" hidden="1" x14ac:dyDescent="0.2"/>
    <row r="36" spans="1:7" ht="39.950000000000003" customHeight="1" x14ac:dyDescent="0.2">
      <c r="A36" s="115" t="s">
        <v>75</v>
      </c>
      <c r="B36" s="115"/>
      <c r="C36" s="115"/>
      <c r="D36" s="115"/>
      <c r="E36" s="115"/>
      <c r="F36" s="115"/>
      <c r="G36" s="115"/>
    </row>
    <row r="37" spans="1:7" ht="30" customHeight="1" x14ac:dyDescent="0.2">
      <c r="A37" s="113" t="s">
        <v>76</v>
      </c>
      <c r="B37" s="114"/>
      <c r="C37" s="114"/>
      <c r="D37" s="114"/>
      <c r="E37" s="114"/>
      <c r="F37" s="114"/>
      <c r="G37" s="114"/>
    </row>
    <row r="38" spans="1:7" ht="9.9499999999999993" customHeight="1" x14ac:dyDescent="0.2">
      <c r="A38" s="115" t="s">
        <v>53</v>
      </c>
      <c r="B38" s="115"/>
      <c r="C38" s="115"/>
      <c r="D38" s="115"/>
      <c r="E38" s="115"/>
      <c r="F38" s="115"/>
      <c r="G38" s="115"/>
    </row>
    <row r="39" spans="1:7" ht="9.9499999999999993" customHeight="1" x14ac:dyDescent="0.2">
      <c r="A39" s="115" t="s">
        <v>74</v>
      </c>
      <c r="B39" s="115"/>
      <c r="C39" s="115"/>
      <c r="D39" s="115"/>
      <c r="E39" s="115"/>
      <c r="F39" s="115"/>
      <c r="G39" s="115"/>
    </row>
  </sheetData>
  <sheetProtection algorithmName="SHA-512" hashValue="xz3pAk5sxNj7IEECwivgsJX1lPehdvWwfwtYxOsm1CQFKye4m2DxObSmCuV/Qyk6SJ9GLPqoUjZbOANjxYklWQ==" saltValue="x0gYnyQDQ5iJzAnDWly67w==" spinCount="100000" sheet="1" objects="1" scenarios="1" selectLockedCells="1"/>
  <customSheetViews>
    <customSheetView guid="{FF9F85E7-6E40-4D4A-8166-CEBF69C362EC}" scale="130" showPageBreaks="1" showGridLines="0" showRowCol="0" outlineSymbols="0" zeroValues="0" fitToPage="1" printArea="1" hiddenRows="1">
      <selection activeCell="C10" sqref="C10"/>
      <pageMargins left="0.78740157480314965" right="0.78740157480314965" top="0.39370078740157483" bottom="0.36" header="0.51181102362204722" footer="0.26"/>
      <printOptions horizontalCentered="1" verticalCentered="1"/>
      <pageSetup paperSize="9" orientation="landscape" horizontalDpi="4294967292" r:id="rId1"/>
      <headerFooter alignWithMargins="0"/>
    </customSheetView>
  </customSheetViews>
  <mergeCells count="8">
    <mergeCell ref="I6:J6"/>
    <mergeCell ref="A37:G37"/>
    <mergeCell ref="A39:G39"/>
    <mergeCell ref="A2:G2"/>
    <mergeCell ref="A1:G1"/>
    <mergeCell ref="E16:G16"/>
    <mergeCell ref="A38:G38"/>
    <mergeCell ref="A36:G36"/>
  </mergeCells>
  <phoneticPr fontId="0" type="noConversion"/>
  <printOptions horizontalCentered="1" verticalCentered="1"/>
  <pageMargins left="0.78740157480314965" right="0.78740157480314965" top="0.39370078740157483" bottom="0.36" header="0.51181102362204722" footer="0.26"/>
  <pageSetup paperSize="9" orientation="landscape" horizontalDpi="4294967292"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11"/>
    <pageSetUpPr fitToPage="1"/>
  </sheetPr>
  <dimension ref="A1:L25"/>
  <sheetViews>
    <sheetView showGridLines="0" showRowColHeaders="0" showOutlineSymbols="0" zoomScale="130" zoomScaleNormal="130" zoomScaleSheetLayoutView="150" workbookViewId="0">
      <selection activeCell="B4" sqref="B4"/>
    </sheetView>
  </sheetViews>
  <sheetFormatPr baseColWidth="10" defaultRowHeight="15" x14ac:dyDescent="0.2"/>
  <cols>
    <col min="1" max="1" width="31.5703125" style="2" customWidth="1"/>
    <col min="2" max="2" width="19.7109375" style="2" customWidth="1"/>
    <col min="3" max="3" width="16.85546875" style="2" customWidth="1"/>
    <col min="4" max="4" width="3.28515625" style="2" customWidth="1"/>
    <col min="5" max="5" width="25.85546875" style="2" customWidth="1"/>
    <col min="6" max="6" width="14.42578125" style="2" customWidth="1"/>
    <col min="7" max="7" width="15.5703125" style="2" customWidth="1"/>
    <col min="8" max="8" width="13" style="2" customWidth="1"/>
    <col min="9" max="10" width="14.7109375" style="2" customWidth="1"/>
    <col min="11" max="16384" width="11.42578125" style="2"/>
  </cols>
  <sheetData>
    <row r="1" spans="1:12" s="5" customFormat="1" ht="23.25" customHeight="1" x14ac:dyDescent="0.3">
      <c r="A1" s="117" t="s">
        <v>78</v>
      </c>
      <c r="B1" s="117"/>
      <c r="C1" s="117"/>
      <c r="D1" s="117"/>
      <c r="E1" s="117"/>
      <c r="F1" s="117"/>
      <c r="G1" s="117"/>
      <c r="H1" s="21"/>
      <c r="I1" s="21"/>
      <c r="J1" s="21"/>
      <c r="K1" s="21"/>
    </row>
    <row r="2" spans="1:12" s="5" customFormat="1" ht="14.25" customHeight="1" x14ac:dyDescent="0.2">
      <c r="A2" s="116" t="s">
        <v>77</v>
      </c>
      <c r="B2" s="116"/>
      <c r="C2" s="116"/>
      <c r="D2" s="116"/>
      <c r="E2" s="116"/>
      <c r="F2" s="116"/>
      <c r="G2" s="116"/>
    </row>
    <row r="3" spans="1:12" s="5" customFormat="1" x14ac:dyDescent="0.2">
      <c r="A3" s="68" t="s">
        <v>23</v>
      </c>
      <c r="B3" s="30"/>
      <c r="C3" s="32"/>
      <c r="D3" s="32"/>
      <c r="E3" s="32"/>
      <c r="F3" s="32"/>
      <c r="G3" s="32"/>
    </row>
    <row r="4" spans="1:12" s="5" customFormat="1" x14ac:dyDescent="0.2">
      <c r="A4" s="42" t="s">
        <v>25</v>
      </c>
      <c r="B4" s="70">
        <v>152000</v>
      </c>
      <c r="C4" s="33" t="s">
        <v>6</v>
      </c>
      <c r="D4" s="32"/>
      <c r="E4" s="32"/>
      <c r="F4" s="32"/>
      <c r="G4" s="32"/>
    </row>
    <row r="5" spans="1:12" s="5" customFormat="1" x14ac:dyDescent="0.2">
      <c r="A5" s="42" t="s">
        <v>1</v>
      </c>
      <c r="B5" s="52">
        <f>IF($B$4&gt;60000000,60000000,$B$4)</f>
        <v>152000</v>
      </c>
      <c r="C5" s="32"/>
      <c r="D5" s="32"/>
      <c r="E5" s="52">
        <f>IF($B$4&gt;30000000,30000000,$B$4)</f>
        <v>152000</v>
      </c>
      <c r="F5" s="32"/>
      <c r="G5" s="32"/>
    </row>
    <row r="6" spans="1:12" s="23" customFormat="1" ht="15.75" x14ac:dyDescent="0.25">
      <c r="A6" s="46" t="s">
        <v>7</v>
      </c>
      <c r="B6" s="34"/>
      <c r="C6" s="34"/>
      <c r="D6" s="35"/>
      <c r="E6" s="47" t="s">
        <v>9</v>
      </c>
      <c r="F6" s="36"/>
      <c r="G6" s="37"/>
      <c r="H6" s="22"/>
      <c r="I6" s="112"/>
      <c r="J6" s="112"/>
      <c r="K6" s="22"/>
    </row>
    <row r="7" spans="1:12" s="23" customFormat="1" ht="15.75" x14ac:dyDescent="0.25">
      <c r="A7" s="38"/>
      <c r="B7" s="71" t="s">
        <v>3</v>
      </c>
      <c r="C7" s="77" t="s">
        <v>8</v>
      </c>
      <c r="D7" s="35"/>
      <c r="E7" s="34"/>
      <c r="F7" s="71" t="s">
        <v>3</v>
      </c>
      <c r="G7" s="77" t="s">
        <v>8</v>
      </c>
      <c r="H7" s="22"/>
      <c r="I7" s="29"/>
      <c r="J7" s="29"/>
      <c r="K7" s="22"/>
    </row>
    <row r="8" spans="1:12" s="5" customFormat="1" ht="12" customHeight="1" x14ac:dyDescent="0.25">
      <c r="A8" s="78" t="s">
        <v>54</v>
      </c>
      <c r="B8" s="53" t="s">
        <v>45</v>
      </c>
      <c r="C8" s="85">
        <f>(IF((Rechentabelle!$A$72)*2&lt;120,120,(Rechentabelle!$A$72)*2))</f>
        <v>708</v>
      </c>
      <c r="D8" s="86"/>
      <c r="E8" s="78"/>
      <c r="F8" s="53"/>
      <c r="G8" s="87"/>
      <c r="H8" s="17"/>
      <c r="I8" s="17"/>
      <c r="J8" s="17"/>
    </row>
    <row r="9" spans="1:12" s="5" customFormat="1" ht="12" customHeight="1" x14ac:dyDescent="0.25">
      <c r="A9" s="88" t="s">
        <v>69</v>
      </c>
      <c r="B9" s="53" t="s">
        <v>46</v>
      </c>
      <c r="C9" s="85"/>
      <c r="D9" s="86"/>
      <c r="E9" s="78" t="s">
        <v>71</v>
      </c>
      <c r="F9" s="53" t="s">
        <v>50</v>
      </c>
      <c r="G9" s="87">
        <f>(Rechentabelle!$A$72)</f>
        <v>354</v>
      </c>
      <c r="H9" s="17"/>
      <c r="I9" s="24"/>
      <c r="J9" s="24"/>
    </row>
    <row r="10" spans="1:12" s="5" customFormat="1" ht="12" customHeight="1" x14ac:dyDescent="0.25">
      <c r="A10" s="88" t="s">
        <v>57</v>
      </c>
      <c r="B10" s="109" t="s">
        <v>49</v>
      </c>
      <c r="C10" s="85">
        <v>20</v>
      </c>
      <c r="D10" s="86"/>
      <c r="E10" s="78"/>
      <c r="F10" s="53"/>
      <c r="G10" s="87"/>
      <c r="H10" s="17"/>
      <c r="I10" s="24"/>
      <c r="J10" s="24"/>
    </row>
    <row r="11" spans="1:12" s="5" customFormat="1" ht="12" customHeight="1" x14ac:dyDescent="0.2">
      <c r="A11" s="78" t="s">
        <v>58</v>
      </c>
      <c r="B11" s="78"/>
      <c r="C11" s="85">
        <f>(IF((Rechentabelle!$A$72)*0.2&gt;20,20,(Rechentabelle!$A$72)*0.2))</f>
        <v>20</v>
      </c>
      <c r="D11" s="78"/>
      <c r="E11" s="78" t="s">
        <v>26</v>
      </c>
      <c r="F11" s="53" t="s">
        <v>46</v>
      </c>
      <c r="G11" s="87">
        <f>(Rechentabelle!$A$72)/2</f>
        <v>177</v>
      </c>
    </row>
    <row r="12" spans="1:12" s="5" customFormat="1" ht="12" customHeight="1" x14ac:dyDescent="0.2">
      <c r="A12" s="78" t="s">
        <v>70</v>
      </c>
      <c r="B12" s="78"/>
      <c r="C12" s="85">
        <v>16</v>
      </c>
      <c r="D12" s="78"/>
      <c r="E12" s="78"/>
      <c r="F12" s="53"/>
      <c r="G12" s="87"/>
    </row>
    <row r="13" spans="1:12" s="8" customFormat="1" ht="12" customHeight="1" x14ac:dyDescent="0.2">
      <c r="A13" s="91" t="s">
        <v>32</v>
      </c>
      <c r="B13" s="74"/>
      <c r="C13" s="92">
        <f>(SUM(C8:C12))*0.19</f>
        <v>145.16</v>
      </c>
      <c r="D13" s="74"/>
      <c r="E13" s="101" t="s">
        <v>27</v>
      </c>
      <c r="F13" s="74"/>
      <c r="G13" s="74"/>
      <c r="H13" s="27"/>
      <c r="I13" s="27"/>
      <c r="J13" s="27"/>
      <c r="K13" s="28"/>
    </row>
    <row r="14" spans="1:12" s="8" customFormat="1" ht="12" customHeight="1" x14ac:dyDescent="0.2">
      <c r="A14" s="78" t="s">
        <v>13</v>
      </c>
      <c r="B14" s="78"/>
      <c r="C14" s="93">
        <f>SUM(C8:C13)</f>
        <v>909.16</v>
      </c>
      <c r="D14" s="78"/>
      <c r="E14" s="78" t="s">
        <v>13</v>
      </c>
      <c r="F14" s="78"/>
      <c r="G14" s="94">
        <f>SUM(G8:G13)</f>
        <v>531</v>
      </c>
      <c r="H14" s="2"/>
      <c r="I14" s="2"/>
      <c r="J14" s="2"/>
      <c r="K14" s="2"/>
      <c r="L14" s="2"/>
    </row>
    <row r="15" spans="1:12" s="8" customFormat="1" ht="15" customHeight="1" x14ac:dyDescent="0.2">
      <c r="A15" s="59"/>
      <c r="B15" s="32"/>
      <c r="C15" s="76"/>
      <c r="D15" s="32"/>
      <c r="E15" s="119"/>
      <c r="F15" s="119"/>
      <c r="G15" s="119"/>
      <c r="H15" s="2"/>
      <c r="I15" s="2"/>
      <c r="J15" s="2"/>
      <c r="K15" s="2"/>
      <c r="L15" s="2"/>
    </row>
    <row r="16" spans="1:12" hidden="1" x14ac:dyDescent="0.2">
      <c r="A16" s="43"/>
      <c r="B16" s="32"/>
      <c r="C16" s="72"/>
      <c r="D16" s="32"/>
      <c r="E16" s="43"/>
      <c r="F16" s="32"/>
      <c r="G16" s="45"/>
    </row>
    <row r="17" spans="1:7" x14ac:dyDescent="0.2">
      <c r="A17" s="75" t="s">
        <v>17</v>
      </c>
      <c r="B17" s="32"/>
      <c r="C17" s="73">
        <f>C$14</f>
        <v>909.16</v>
      </c>
      <c r="D17" s="49"/>
      <c r="E17" s="43"/>
      <c r="F17" s="32"/>
      <c r="G17" s="40"/>
    </row>
    <row r="18" spans="1:7" x14ac:dyDescent="0.2">
      <c r="A18" s="75" t="s">
        <v>18</v>
      </c>
      <c r="B18" s="32"/>
      <c r="C18" s="73">
        <f>$G$14</f>
        <v>531</v>
      </c>
      <c r="D18" s="49"/>
      <c r="E18" s="43"/>
      <c r="F18" s="32"/>
      <c r="G18" s="40"/>
    </row>
    <row r="19" spans="1:7" x14ac:dyDescent="0.2">
      <c r="A19" s="48"/>
      <c r="B19" s="32"/>
      <c r="C19" s="73"/>
      <c r="D19" s="49"/>
      <c r="E19" s="43"/>
      <c r="F19" s="32"/>
      <c r="G19" s="32"/>
    </row>
    <row r="20" spans="1:7" ht="15.75" x14ac:dyDescent="0.25">
      <c r="A20" s="80" t="s">
        <v>28</v>
      </c>
      <c r="C20" s="81">
        <f>SUM($C$17,$C$18,$C$19)</f>
        <v>1440.1599999999999</v>
      </c>
      <c r="D20" s="50" t="s">
        <v>20</v>
      </c>
      <c r="E20" s="51">
        <f>C20/B4</f>
        <v>9.4747368421052615E-3</v>
      </c>
    </row>
    <row r="21" spans="1:7" ht="13.5" hidden="1" customHeight="1" x14ac:dyDescent="0.2"/>
    <row r="22" spans="1:7" ht="39.950000000000003" customHeight="1" x14ac:dyDescent="0.2">
      <c r="A22" s="120" t="s">
        <v>72</v>
      </c>
      <c r="B22" s="120"/>
      <c r="C22" s="120"/>
      <c r="D22" s="120"/>
      <c r="E22" s="120"/>
      <c r="F22" s="120"/>
      <c r="G22" s="120"/>
    </row>
    <row r="23" spans="1:7" hidden="1" x14ac:dyDescent="0.2">
      <c r="A23" s="78"/>
      <c r="B23" s="78"/>
      <c r="C23" s="78"/>
      <c r="D23" s="78"/>
      <c r="E23" s="78"/>
      <c r="F23" s="78"/>
      <c r="G23" s="78"/>
    </row>
    <row r="24" spans="1:7" x14ac:dyDescent="0.2">
      <c r="A24" s="115"/>
      <c r="B24" s="115"/>
      <c r="C24" s="115"/>
      <c r="D24" s="115"/>
      <c r="E24" s="115"/>
      <c r="F24" s="115"/>
      <c r="G24" s="115"/>
    </row>
    <row r="25" spans="1:7" x14ac:dyDescent="0.2">
      <c r="A25" s="84"/>
      <c r="B25" s="78"/>
      <c r="C25" s="78"/>
      <c r="D25" s="78"/>
      <c r="E25" s="78"/>
      <c r="F25" s="79"/>
      <c r="G25" s="78"/>
    </row>
  </sheetData>
  <sheetProtection password="C470" sheet="1" objects="1" scenarios="1" selectLockedCells="1"/>
  <customSheetViews>
    <customSheetView guid="{FF9F85E7-6E40-4D4A-8166-CEBF69C362EC}" scale="130" showPageBreaks="1" showGridLines="0" showRowCol="0" outlineSymbols="0" fitToPage="1" printArea="1" hiddenRows="1">
      <selection activeCell="B4" sqref="B4"/>
      <pageMargins left="0.78740157480314965" right="0.78740157480314965" top="0.98425196850393704" bottom="0" header="0.51181102362204722" footer="0.51181102362204722"/>
      <printOptions horizontalCentered="1" verticalCentered="1"/>
      <pageSetup paperSize="9" scale="28" orientation="landscape" r:id="rId1"/>
      <headerFooter alignWithMargins="0"/>
    </customSheetView>
  </customSheetViews>
  <mergeCells count="6">
    <mergeCell ref="A1:G1"/>
    <mergeCell ref="E15:G15"/>
    <mergeCell ref="A24:G24"/>
    <mergeCell ref="A22:G22"/>
    <mergeCell ref="I6:J6"/>
    <mergeCell ref="A2:G2"/>
  </mergeCells>
  <phoneticPr fontId="0" type="noConversion"/>
  <printOptions horizontalCentered="1" verticalCentered="1"/>
  <pageMargins left="0.78740157480314965" right="0.78740157480314965" top="0.98425196850393704" bottom="0" header="0.51181102362204722" footer="0.51181102362204722"/>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30"/>
  <sheetViews>
    <sheetView showGridLines="0" showRowColHeaders="0" showOutlineSymbols="0" workbookViewId="0">
      <selection activeCell="A5" sqref="A5:B5"/>
    </sheetView>
  </sheetViews>
  <sheetFormatPr baseColWidth="10" defaultRowHeight="15" x14ac:dyDescent="0.2"/>
  <cols>
    <col min="1" max="1" width="31.140625" style="2" customWidth="1"/>
    <col min="2" max="2" width="12.7109375" style="2" customWidth="1"/>
    <col min="3" max="3" width="2.5703125" style="2" customWidth="1"/>
    <col min="4" max="4" width="5.5703125" style="2" customWidth="1"/>
    <col min="5" max="5" width="11.42578125" style="2"/>
    <col min="6" max="6" width="3.140625" style="2" customWidth="1"/>
    <col min="7" max="8" width="18.7109375" style="2" customWidth="1"/>
    <col min="9" max="9" width="13" style="2" customWidth="1"/>
    <col min="10" max="11" width="14.7109375" style="2" customWidth="1"/>
    <col min="12" max="16384" width="11.42578125" style="2"/>
  </cols>
  <sheetData>
    <row r="1" spans="1:12" s="5" customFormat="1" ht="23.25" customHeight="1" x14ac:dyDescent="0.3">
      <c r="A1" s="13"/>
      <c r="B1" s="14"/>
      <c r="C1" s="9"/>
      <c r="D1" s="9"/>
      <c r="E1" s="124" t="s">
        <v>68</v>
      </c>
      <c r="F1" s="124"/>
      <c r="G1" s="124"/>
      <c r="H1" s="124"/>
      <c r="I1" s="9"/>
      <c r="J1" s="9"/>
      <c r="K1" s="9"/>
      <c r="L1" s="9"/>
    </row>
    <row r="2" spans="1:12" s="5" customFormat="1" ht="14.25" customHeight="1" x14ac:dyDescent="0.2">
      <c r="A2" s="2"/>
      <c r="B2" s="2"/>
      <c r="C2" s="2"/>
      <c r="D2" s="2"/>
      <c r="E2" s="125"/>
      <c r="F2" s="125"/>
      <c r="G2" s="125"/>
      <c r="H2" s="125"/>
    </row>
    <row r="3" spans="1:12" s="5" customFormat="1" ht="18.75" x14ac:dyDescent="0.25">
      <c r="A3" s="31" t="s">
        <v>31</v>
      </c>
      <c r="B3" s="6"/>
      <c r="C3" s="2"/>
      <c r="D3" s="2"/>
      <c r="E3" s="2"/>
      <c r="F3" s="2"/>
      <c r="G3" s="2"/>
      <c r="H3" s="2"/>
    </row>
    <row r="4" spans="1:12" s="5" customFormat="1" ht="15.75" x14ac:dyDescent="0.25">
      <c r="A4" s="58">
        <v>50000</v>
      </c>
      <c r="B4" s="55" t="s">
        <v>30</v>
      </c>
      <c r="C4" s="2"/>
      <c r="D4" s="2"/>
      <c r="E4" s="12"/>
      <c r="F4" s="2"/>
      <c r="G4" s="2"/>
      <c r="H4" s="2"/>
    </row>
    <row r="5" spans="1:12" s="5" customFormat="1" x14ac:dyDescent="0.2">
      <c r="A5" s="127"/>
      <c r="B5" s="127"/>
    </row>
    <row r="6" spans="1:12" s="5" customFormat="1" ht="15.75" x14ac:dyDescent="0.25">
      <c r="A6" s="2"/>
      <c r="B6" s="2"/>
      <c r="C6" s="1"/>
      <c r="D6" s="1"/>
      <c r="E6" s="1"/>
      <c r="F6" s="1"/>
      <c r="G6" s="2"/>
      <c r="H6" s="2"/>
      <c r="I6" s="17"/>
      <c r="J6" s="17"/>
      <c r="K6" s="17"/>
    </row>
    <row r="7" spans="1:12" s="5" customFormat="1" ht="15.75" x14ac:dyDescent="0.25">
      <c r="A7" s="126" t="s">
        <v>1</v>
      </c>
      <c r="B7" s="126"/>
      <c r="C7" s="3"/>
      <c r="D7" s="3"/>
      <c r="E7" s="54" t="s">
        <v>3</v>
      </c>
      <c r="F7" s="3"/>
      <c r="G7" s="54" t="s">
        <v>0</v>
      </c>
      <c r="H7" s="11"/>
      <c r="I7" s="17"/>
      <c r="J7" s="24"/>
      <c r="K7" s="24"/>
    </row>
    <row r="8" spans="1:12" s="5" customFormat="1" ht="15.75" x14ac:dyDescent="0.25">
      <c r="C8" s="17"/>
      <c r="D8" s="1"/>
      <c r="E8" s="1"/>
      <c r="F8" s="1"/>
      <c r="G8" s="11"/>
      <c r="H8" s="11"/>
      <c r="I8" s="17"/>
      <c r="J8" s="24"/>
      <c r="K8" s="24"/>
    </row>
    <row r="9" spans="1:12" s="5" customFormat="1" ht="15.75" x14ac:dyDescent="0.25">
      <c r="A9" s="57">
        <f>IF(Haupttabelle!A4&gt;60000000,60000000,Haupttabelle!A4)</f>
        <v>50000</v>
      </c>
      <c r="B9" s="19" t="s">
        <v>2</v>
      </c>
      <c r="C9" s="17"/>
      <c r="D9" s="17"/>
      <c r="E9" s="10" t="s">
        <v>46</v>
      </c>
      <c r="F9" s="4"/>
      <c r="G9" s="56">
        <f>IF(G10=0,0,(IF(G10/2&lt;=10,10,G10/2)))</f>
        <v>82.5</v>
      </c>
      <c r="H9" s="15"/>
      <c r="J9" s="25"/>
      <c r="K9" s="25"/>
    </row>
    <row r="10" spans="1:12" s="5" customFormat="1" ht="18" x14ac:dyDescent="0.25">
      <c r="A10" s="18"/>
      <c r="B10" s="19"/>
      <c r="C10" s="20"/>
      <c r="D10" s="17"/>
      <c r="E10" s="10" t="s">
        <v>47</v>
      </c>
      <c r="F10" s="4"/>
      <c r="G10" s="56">
        <f>(Rechentabelle!$A$17)</f>
        <v>165</v>
      </c>
      <c r="H10" s="15"/>
      <c r="J10" s="25"/>
      <c r="K10" s="25"/>
    </row>
    <row r="11" spans="1:12" s="5" customFormat="1" ht="15.75" x14ac:dyDescent="0.25">
      <c r="A11" s="1"/>
      <c r="B11" s="1"/>
      <c r="C11" s="1"/>
      <c r="D11" s="1"/>
      <c r="E11" s="10" t="s">
        <v>64</v>
      </c>
      <c r="F11" s="4"/>
      <c r="G11" s="56">
        <f>G10*2</f>
        <v>330</v>
      </c>
      <c r="H11" s="16"/>
      <c r="J11" s="25"/>
      <c r="K11" s="25"/>
    </row>
    <row r="12" spans="1:12" s="5" customFormat="1" ht="15.75" x14ac:dyDescent="0.25">
      <c r="A12" s="1"/>
      <c r="B12" s="1"/>
      <c r="C12" s="1"/>
      <c r="D12" s="1"/>
      <c r="E12" s="10" t="s">
        <v>65</v>
      </c>
      <c r="F12" s="4"/>
      <c r="G12" s="56">
        <f>G10*1.5</f>
        <v>247.5</v>
      </c>
      <c r="H12" s="15"/>
      <c r="J12" s="25"/>
      <c r="K12" s="25"/>
    </row>
    <row r="13" spans="1:12" s="5" customFormat="1" ht="15.75" x14ac:dyDescent="0.25">
      <c r="A13" s="1"/>
      <c r="B13" s="1"/>
      <c r="C13" s="1"/>
      <c r="D13" s="1"/>
      <c r="E13" s="10" t="s">
        <v>66</v>
      </c>
      <c r="F13" s="4"/>
      <c r="G13" s="56">
        <f>IF(G10=0,0,(IF(G10/4&lt;=10,10,G10/4)))</f>
        <v>41.25</v>
      </c>
      <c r="H13" s="15"/>
      <c r="J13" s="25"/>
      <c r="K13" s="25"/>
    </row>
    <row r="14" spans="1:12" s="5" customFormat="1" ht="15.75" x14ac:dyDescent="0.25">
      <c r="A14" s="1"/>
      <c r="B14" s="1"/>
      <c r="C14" s="1"/>
      <c r="D14" s="1"/>
      <c r="E14" s="10" t="s">
        <v>67</v>
      </c>
      <c r="F14" s="4"/>
      <c r="G14" s="56">
        <f>IF(G10=0,0,(IF(G10/10&lt;=10,10,G10/10)))</f>
        <v>16.5</v>
      </c>
      <c r="H14" s="15"/>
      <c r="J14" s="25"/>
      <c r="K14" s="25"/>
    </row>
    <row r="15" spans="1:12" s="5" customFormat="1" x14ac:dyDescent="0.2">
      <c r="A15" s="2"/>
      <c r="B15" s="2"/>
      <c r="C15" s="2"/>
      <c r="D15" s="2"/>
      <c r="E15" s="2"/>
      <c r="F15" s="2"/>
      <c r="G15" s="2"/>
      <c r="H15" s="2"/>
    </row>
    <row r="16" spans="1:12" s="8" customFormat="1" ht="15" customHeight="1" x14ac:dyDescent="0.2"/>
    <row r="17" spans="1:13" s="8" customFormat="1" ht="15" customHeight="1" x14ac:dyDescent="0.2">
      <c r="A17" s="26"/>
      <c r="B17" s="27"/>
      <c r="C17" s="27"/>
      <c r="D17" s="27"/>
      <c r="E17" s="27"/>
      <c r="F17" s="27"/>
      <c r="G17" s="27"/>
      <c r="H17" s="27"/>
      <c r="I17" s="27"/>
      <c r="J17" s="27"/>
      <c r="K17" s="27"/>
      <c r="L17" s="27"/>
    </row>
    <row r="18" spans="1:13" s="8" customFormat="1" ht="12.75" customHeight="1" x14ac:dyDescent="0.2">
      <c r="A18" s="121"/>
      <c r="B18" s="122"/>
      <c r="C18" s="122"/>
      <c r="D18" s="122"/>
      <c r="E18" s="122"/>
      <c r="F18" s="122"/>
      <c r="G18" s="122"/>
      <c r="H18" s="122"/>
      <c r="I18" s="122"/>
      <c r="J18" s="122"/>
      <c r="K18" s="122"/>
      <c r="L18" s="122"/>
    </row>
    <row r="19" spans="1:13" s="8" customFormat="1" ht="39.75" customHeight="1" x14ac:dyDescent="0.2">
      <c r="A19" s="123"/>
      <c r="B19" s="123"/>
      <c r="C19" s="123"/>
      <c r="D19" s="123"/>
      <c r="E19" s="123"/>
      <c r="F19" s="123"/>
      <c r="G19" s="123"/>
      <c r="H19" s="123"/>
      <c r="I19" s="123"/>
      <c r="J19" s="122"/>
      <c r="K19" s="122"/>
      <c r="L19" s="122"/>
      <c r="M19" s="7"/>
    </row>
    <row r="20" spans="1:13" s="8" customFormat="1" ht="15" customHeight="1" x14ac:dyDescent="0.2">
      <c r="A20" s="2"/>
      <c r="B20" s="2"/>
      <c r="C20" s="2"/>
      <c r="D20" s="2"/>
      <c r="E20" s="2"/>
      <c r="F20" s="2"/>
      <c r="G20" s="2"/>
      <c r="H20" s="2"/>
      <c r="I20" s="2"/>
      <c r="J20" s="2"/>
      <c r="K20" s="2"/>
      <c r="L20" s="2"/>
      <c r="M20" s="2"/>
    </row>
    <row r="21" spans="1:13" s="8" customFormat="1" ht="15" customHeight="1" x14ac:dyDescent="0.2">
      <c r="A21" s="2"/>
      <c r="B21" s="2"/>
      <c r="C21" s="2"/>
      <c r="D21" s="2"/>
      <c r="E21" s="2"/>
      <c r="F21" s="2"/>
      <c r="G21" s="2"/>
      <c r="H21" s="2"/>
      <c r="I21" s="2"/>
      <c r="J21" s="2"/>
      <c r="K21" s="2"/>
      <c r="L21" s="2"/>
      <c r="M21" s="2"/>
    </row>
    <row r="22" spans="1:13" s="8" customFormat="1" ht="15" customHeight="1" x14ac:dyDescent="0.2">
      <c r="A22" s="2"/>
      <c r="B22" s="2"/>
      <c r="C22" s="2"/>
      <c r="D22" s="2"/>
      <c r="E22" s="2"/>
      <c r="F22" s="2"/>
      <c r="G22" s="2"/>
      <c r="H22" s="2"/>
      <c r="I22" s="2"/>
      <c r="J22" s="2"/>
      <c r="K22" s="2"/>
      <c r="L22" s="2"/>
      <c r="M22" s="2"/>
    </row>
    <row r="23" spans="1:13" s="8" customFormat="1" ht="15" customHeight="1" x14ac:dyDescent="0.2">
      <c r="A23" s="2"/>
      <c r="B23" s="2"/>
      <c r="C23" s="2"/>
      <c r="D23" s="2"/>
      <c r="E23" s="2"/>
      <c r="F23" s="2"/>
      <c r="G23" s="2"/>
      <c r="H23" s="2"/>
      <c r="I23" s="2"/>
      <c r="J23" s="2"/>
      <c r="K23" s="2"/>
      <c r="L23" s="2"/>
      <c r="M23" s="2"/>
    </row>
    <row r="24" spans="1:13" s="8" customFormat="1" ht="15" customHeight="1" x14ac:dyDescent="0.2">
      <c r="A24" s="2"/>
      <c r="B24" s="2"/>
      <c r="C24" s="2"/>
      <c r="D24" s="2"/>
      <c r="E24" s="2"/>
      <c r="F24" s="2"/>
      <c r="G24" s="2"/>
      <c r="H24" s="2"/>
      <c r="I24" s="2"/>
      <c r="J24" s="2"/>
      <c r="K24" s="2"/>
      <c r="L24" s="2"/>
      <c r="M24" s="2"/>
    </row>
    <row r="25" spans="1:13" s="8" customFormat="1" ht="15" customHeight="1" x14ac:dyDescent="0.2">
      <c r="A25" s="2"/>
      <c r="B25" s="2"/>
      <c r="C25" s="2"/>
      <c r="D25" s="2"/>
      <c r="E25" s="2"/>
      <c r="F25" s="2"/>
      <c r="G25" s="2"/>
      <c r="H25" s="2"/>
      <c r="I25" s="2"/>
      <c r="J25" s="2"/>
      <c r="K25" s="2"/>
      <c r="L25" s="2"/>
      <c r="M25" s="2"/>
    </row>
    <row r="26" spans="1:13" s="8" customFormat="1" ht="15" customHeight="1" x14ac:dyDescent="0.2">
      <c r="A26" s="2"/>
      <c r="B26" s="2"/>
      <c r="C26" s="2"/>
      <c r="D26" s="2"/>
      <c r="E26" s="2"/>
      <c r="F26" s="2"/>
      <c r="G26" s="2"/>
      <c r="H26" s="2"/>
      <c r="I26" s="2"/>
      <c r="J26" s="2"/>
      <c r="K26" s="2"/>
      <c r="L26" s="2"/>
      <c r="M26" s="2"/>
    </row>
    <row r="27" spans="1:13" s="8" customFormat="1" ht="12.75" customHeight="1" x14ac:dyDescent="0.2">
      <c r="A27" s="2"/>
      <c r="B27" s="2"/>
      <c r="C27" s="2"/>
      <c r="D27" s="2"/>
      <c r="E27" s="2"/>
      <c r="F27" s="2"/>
      <c r="G27" s="2"/>
      <c r="H27" s="2"/>
      <c r="I27" s="2"/>
      <c r="J27" s="2"/>
      <c r="K27" s="2"/>
      <c r="L27" s="2"/>
      <c r="M27" s="2"/>
    </row>
    <row r="28" spans="1:13" s="8" customFormat="1" ht="22.5" customHeight="1" x14ac:dyDescent="0.2">
      <c r="A28" s="2"/>
      <c r="B28" s="2"/>
      <c r="C28" s="2"/>
      <c r="D28" s="2"/>
      <c r="E28" s="2"/>
      <c r="F28" s="2"/>
      <c r="G28" s="2"/>
      <c r="H28" s="2"/>
      <c r="I28" s="2"/>
      <c r="J28" s="2"/>
      <c r="K28" s="2"/>
      <c r="L28" s="2"/>
      <c r="M28" s="2"/>
    </row>
    <row r="29" spans="1:13" s="8" customFormat="1" ht="21" customHeight="1" x14ac:dyDescent="0.2">
      <c r="A29" s="2"/>
      <c r="B29" s="2"/>
      <c r="C29" s="2"/>
      <c r="D29" s="2"/>
      <c r="E29" s="2"/>
      <c r="F29" s="2"/>
      <c r="G29" s="2"/>
      <c r="H29" s="2"/>
      <c r="I29" s="2"/>
      <c r="J29" s="2"/>
      <c r="K29" s="2"/>
      <c r="L29" s="2"/>
      <c r="M29" s="2"/>
    </row>
    <row r="30" spans="1:13" s="7" customFormat="1" ht="48" customHeight="1" x14ac:dyDescent="0.2">
      <c r="A30" s="2"/>
      <c r="B30" s="2"/>
      <c r="C30" s="2"/>
      <c r="D30" s="2"/>
      <c r="E30" s="2"/>
      <c r="F30" s="2"/>
      <c r="G30" s="2"/>
      <c r="H30" s="2"/>
      <c r="I30" s="2"/>
      <c r="J30" s="2"/>
      <c r="K30" s="2"/>
      <c r="L30" s="2"/>
      <c r="M30" s="2"/>
    </row>
  </sheetData>
  <sheetProtection password="C470" sheet="1" objects="1" scenarios="1"/>
  <customSheetViews>
    <customSheetView guid="{FF9F85E7-6E40-4D4A-8166-CEBF69C362EC}" showGridLines="0" showRowCol="0" outlineSymbols="0" fitToPage="1" state="hidden">
      <selection activeCell="A5" sqref="A5:B5"/>
      <pageMargins left="0.78740157480314965" right="0.78740157480314965" top="0.98425196850393704" bottom="0.98425196850393704" header="0.51181102362204722" footer="0.51181102362204722"/>
      <printOptions horizontalCentered="1" verticalCentered="1"/>
      <pageSetup paperSize="9" scale="78" orientation="landscape" horizontalDpi="4294967292" r:id="rId1"/>
      <headerFooter alignWithMargins="0"/>
    </customSheetView>
  </customSheetViews>
  <mergeCells count="6">
    <mergeCell ref="A18:L18"/>
    <mergeCell ref="A19:L19"/>
    <mergeCell ref="E1:H1"/>
    <mergeCell ref="E2:H2"/>
    <mergeCell ref="A7:B7"/>
    <mergeCell ref="A5:B5"/>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78" orientation="landscape" horizontalDpi="4294967292"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9"/>
  </sheetPr>
  <dimension ref="A1:I88"/>
  <sheetViews>
    <sheetView workbookViewId="0">
      <selection activeCell="M8" sqref="M8"/>
    </sheetView>
  </sheetViews>
  <sheetFormatPr baseColWidth="10" defaultRowHeight="12.75" x14ac:dyDescent="0.2"/>
  <cols>
    <col min="1" max="1" width="30.140625" customWidth="1"/>
    <col min="2" max="2" width="14.7109375" customWidth="1"/>
    <col min="3" max="3" width="15.42578125" customWidth="1"/>
    <col min="4" max="4" width="11.85546875" customWidth="1"/>
    <col min="5" max="5" width="7.5703125" customWidth="1"/>
    <col min="6" max="6" width="7.42578125" customWidth="1"/>
  </cols>
  <sheetData>
    <row r="1" spans="1:9" ht="9.9499999999999993" customHeight="1" x14ac:dyDescent="0.2">
      <c r="A1" s="102" t="s">
        <v>29</v>
      </c>
      <c r="B1" s="103"/>
      <c r="C1" s="103"/>
      <c r="D1" s="103"/>
      <c r="E1" s="103"/>
      <c r="F1" s="103"/>
      <c r="G1" s="104"/>
      <c r="H1" s="104"/>
      <c r="I1" s="104"/>
    </row>
    <row r="2" spans="1:9" ht="9.9499999999999993" customHeight="1" x14ac:dyDescent="0.2">
      <c r="A2" s="105">
        <f>Haupttabelle!$A$9</f>
        <v>50000</v>
      </c>
      <c r="B2" s="106"/>
      <c r="C2" s="106"/>
      <c r="D2" s="106"/>
      <c r="E2" s="106"/>
      <c r="F2" s="106"/>
      <c r="G2" s="106"/>
      <c r="H2" s="104"/>
      <c r="I2" s="104"/>
    </row>
    <row r="3" spans="1:9" ht="9.9499999999999993" customHeight="1" x14ac:dyDescent="0.2">
      <c r="A3" s="106"/>
      <c r="B3" s="106"/>
      <c r="C3" s="106"/>
      <c r="D3" s="106"/>
      <c r="E3" s="106"/>
      <c r="F3" s="106" t="s">
        <v>51</v>
      </c>
      <c r="G3" s="106" t="s">
        <v>52</v>
      </c>
      <c r="H3" s="104"/>
      <c r="I3" s="104"/>
    </row>
    <row r="4" spans="1:9" ht="9.9499999999999993" customHeight="1" x14ac:dyDescent="0.2">
      <c r="A4" s="106" t="s">
        <v>33</v>
      </c>
      <c r="B4" s="106">
        <f>IF(A2&gt;0,15,0)</f>
        <v>15</v>
      </c>
      <c r="C4" s="106"/>
      <c r="D4" s="106"/>
      <c r="E4" s="106"/>
      <c r="F4" s="104"/>
      <c r="G4" s="106">
        <v>35</v>
      </c>
      <c r="H4" s="104"/>
      <c r="I4" s="104"/>
    </row>
    <row r="5" spans="1:9" ht="9.9499999999999993" customHeight="1" x14ac:dyDescent="0.2">
      <c r="A5" s="106" t="s">
        <v>34</v>
      </c>
      <c r="B5" s="106">
        <f>F5</f>
        <v>12</v>
      </c>
      <c r="C5" s="105">
        <f>A2-500</f>
        <v>49500</v>
      </c>
      <c r="D5" s="106">
        <f>IF(C5&lt;=0,0,C5/500)</f>
        <v>99</v>
      </c>
      <c r="E5" s="106">
        <f t="shared" ref="E5:E15" si="0">ROUNDUP(D5,0)</f>
        <v>99</v>
      </c>
      <c r="F5" s="106">
        <f>IF(E5&gt;D77,F77,E5*4)</f>
        <v>12</v>
      </c>
      <c r="G5" s="106">
        <f>IF(E5&gt;D$77,H$77,E5*17)</f>
        <v>51</v>
      </c>
      <c r="H5" s="104"/>
      <c r="I5" s="104"/>
    </row>
    <row r="6" spans="1:9" ht="9.9499999999999993" customHeight="1" x14ac:dyDescent="0.2">
      <c r="A6" s="106" t="s">
        <v>35</v>
      </c>
      <c r="B6" s="106">
        <f t="shared" ref="B6:B15" si="1">F6</f>
        <v>48</v>
      </c>
      <c r="C6" s="105">
        <f>A2-2000</f>
        <v>48000</v>
      </c>
      <c r="D6" s="106">
        <f>IF(C6&lt;=0,0,C6/1000)</f>
        <v>48</v>
      </c>
      <c r="E6" s="106">
        <f t="shared" si="0"/>
        <v>48</v>
      </c>
      <c r="F6" s="106">
        <f>IF(E6&gt;D78,F78,E6*6)</f>
        <v>48</v>
      </c>
      <c r="G6" s="106">
        <f>IF(E6&gt;D$78,H$78,E6*19)</f>
        <v>152</v>
      </c>
      <c r="H6" s="104"/>
      <c r="I6" s="104"/>
    </row>
    <row r="7" spans="1:9" ht="9.9499999999999993" customHeight="1" x14ac:dyDescent="0.2">
      <c r="A7" s="106" t="s">
        <v>36</v>
      </c>
      <c r="B7" s="106">
        <f t="shared" si="1"/>
        <v>40</v>
      </c>
      <c r="C7" s="105">
        <f>A2-10000</f>
        <v>40000</v>
      </c>
      <c r="D7" s="106">
        <f>IF(C7&lt;=0,0,C7/3000)</f>
        <v>13.333333333333334</v>
      </c>
      <c r="E7" s="106">
        <f t="shared" si="0"/>
        <v>14</v>
      </c>
      <c r="F7" s="106">
        <f>IF(E7&gt;D79,F79,E7*8)</f>
        <v>40</v>
      </c>
      <c r="G7" s="106">
        <f>IF(E7&gt;D$79,H$79,E7*25)</f>
        <v>125</v>
      </c>
      <c r="H7" s="104"/>
      <c r="I7" s="104"/>
    </row>
    <row r="8" spans="1:9" ht="9.9499999999999993" customHeight="1" x14ac:dyDescent="0.2">
      <c r="A8" s="106" t="s">
        <v>37</v>
      </c>
      <c r="B8" s="106">
        <f t="shared" si="1"/>
        <v>50</v>
      </c>
      <c r="C8" s="105">
        <f>A2-25000</f>
        <v>25000</v>
      </c>
      <c r="D8" s="106">
        <f>IF(C8&lt;=0,0,C8/5000)</f>
        <v>5</v>
      </c>
      <c r="E8" s="106">
        <f t="shared" si="0"/>
        <v>5</v>
      </c>
      <c r="F8" s="106">
        <f>IF(E8&gt;D80,F80,E8*10)</f>
        <v>50</v>
      </c>
      <c r="G8" s="106">
        <f>IF(E8&gt;D$80,H$80,E8*37)</f>
        <v>185</v>
      </c>
      <c r="H8" s="104"/>
      <c r="I8" s="104"/>
    </row>
    <row r="9" spans="1:9" ht="9.9499999999999993" customHeight="1" x14ac:dyDescent="0.2">
      <c r="A9" s="106" t="s">
        <v>38</v>
      </c>
      <c r="B9" s="106">
        <f t="shared" si="1"/>
        <v>0</v>
      </c>
      <c r="C9" s="105">
        <f>A2-50000</f>
        <v>0</v>
      </c>
      <c r="D9" s="106">
        <f>IF(C9&lt;=0,0,C9/15000)</f>
        <v>0</v>
      </c>
      <c r="E9" s="106">
        <f t="shared" si="0"/>
        <v>0</v>
      </c>
      <c r="F9" s="106">
        <f>IF(E9&gt;D81,F81,E9*27)</f>
        <v>0</v>
      </c>
      <c r="G9" s="106">
        <f>IF(E9&gt;D$81,H$81,E9*117)</f>
        <v>0</v>
      </c>
      <c r="H9" s="104"/>
      <c r="I9" s="104"/>
    </row>
    <row r="10" spans="1:9" ht="9.9499999999999993" customHeight="1" x14ac:dyDescent="0.2">
      <c r="A10" s="106" t="s">
        <v>39</v>
      </c>
      <c r="B10" s="106">
        <f t="shared" si="1"/>
        <v>0</v>
      </c>
      <c r="C10" s="105">
        <f>A2-200000</f>
        <v>-150000</v>
      </c>
      <c r="D10" s="106">
        <f>IF(C10&lt;=0,0,C10/30000)</f>
        <v>0</v>
      </c>
      <c r="E10" s="106">
        <f t="shared" si="0"/>
        <v>0</v>
      </c>
      <c r="F10" s="106">
        <f>IF(E10&gt;D82,F82,E10*50)</f>
        <v>0</v>
      </c>
      <c r="G10" s="106">
        <f>IF(E10&gt;D$82,H$82,E10*177)</f>
        <v>0</v>
      </c>
      <c r="H10" s="104"/>
      <c r="I10" s="104"/>
    </row>
    <row r="11" spans="1:9" ht="9.9499999999999993" customHeight="1" x14ac:dyDescent="0.2">
      <c r="A11" s="106" t="s">
        <v>40</v>
      </c>
      <c r="B11" s="106">
        <f>F11</f>
        <v>0</v>
      </c>
      <c r="C11" s="105">
        <f>A2-500000</f>
        <v>-450000</v>
      </c>
      <c r="D11" s="106">
        <f>IF(C11&lt;=0,0,C11/50000)</f>
        <v>0</v>
      </c>
      <c r="E11" s="106">
        <f t="shared" si="0"/>
        <v>0</v>
      </c>
      <c r="F11" s="106">
        <f>IF(E11&gt;D83,F83,E11*80)</f>
        <v>0</v>
      </c>
      <c r="G11" s="106">
        <f>IF(E11&gt;590,H$83,E11*177)</f>
        <v>0</v>
      </c>
      <c r="H11" s="104"/>
      <c r="I11" s="104"/>
    </row>
    <row r="12" spans="1:9" ht="9.9499999999999993" customHeight="1" x14ac:dyDescent="0.2">
      <c r="A12" s="106" t="s">
        <v>41</v>
      </c>
      <c r="B12" s="106">
        <f t="shared" si="1"/>
        <v>0</v>
      </c>
      <c r="C12" s="105">
        <f>A2-5000000</f>
        <v>-4950000</v>
      </c>
      <c r="D12" s="106">
        <f>IF(C12&lt;=0,0,C12/200000)</f>
        <v>0</v>
      </c>
      <c r="E12" s="106">
        <f t="shared" si="0"/>
        <v>0</v>
      </c>
      <c r="F12" s="106">
        <f>IF(E12&gt;D84,F84,E12*130)</f>
        <v>0</v>
      </c>
      <c r="G12" s="106"/>
      <c r="H12" s="104"/>
      <c r="I12" s="104"/>
    </row>
    <row r="13" spans="1:9" ht="9.9499999999999993" customHeight="1" x14ac:dyDescent="0.2">
      <c r="A13" s="106" t="s">
        <v>42</v>
      </c>
      <c r="B13" s="106">
        <f t="shared" si="1"/>
        <v>0</v>
      </c>
      <c r="C13" s="105">
        <f>A2-10000000</f>
        <v>-9950000</v>
      </c>
      <c r="D13" s="106">
        <f>IF(C13&lt;=0,0,C13/250000)</f>
        <v>0</v>
      </c>
      <c r="E13" s="106">
        <f t="shared" si="0"/>
        <v>0</v>
      </c>
      <c r="F13" s="106">
        <f>IF(E13&gt;D85,F85,E13*150)</f>
        <v>0</v>
      </c>
      <c r="G13" s="106"/>
      <c r="H13" s="104"/>
      <c r="I13" s="104"/>
    </row>
    <row r="14" spans="1:9" ht="9.9499999999999993" customHeight="1" x14ac:dyDescent="0.2">
      <c r="A14" s="106" t="s">
        <v>43</v>
      </c>
      <c r="B14" s="106">
        <f t="shared" si="1"/>
        <v>0</v>
      </c>
      <c r="C14" s="105">
        <f>A2-20000000</f>
        <v>-19950000</v>
      </c>
      <c r="D14" s="106">
        <f>IF(C14&lt;=0,0,C14/500000)</f>
        <v>0</v>
      </c>
      <c r="E14" s="106">
        <f t="shared" si="0"/>
        <v>0</v>
      </c>
      <c r="F14" s="106">
        <f>IF(E14&gt;D86,F86,E14*280)</f>
        <v>0</v>
      </c>
      <c r="G14" s="106"/>
      <c r="H14" s="104"/>
      <c r="I14" s="104"/>
    </row>
    <row r="15" spans="1:9" ht="9.9499999999999993" customHeight="1" x14ac:dyDescent="0.2">
      <c r="A15" s="106" t="s">
        <v>44</v>
      </c>
      <c r="B15" s="106">
        <f t="shared" si="1"/>
        <v>0</v>
      </c>
      <c r="C15" s="105">
        <f>A2-30000000</f>
        <v>-29950000</v>
      </c>
      <c r="D15" s="106">
        <f>IF(C15&lt;=0,0,C15/1000000)</f>
        <v>0</v>
      </c>
      <c r="E15" s="106">
        <f t="shared" si="0"/>
        <v>0</v>
      </c>
      <c r="F15" s="106">
        <f>IF(E15&gt;D87,F87,E15*120)</f>
        <v>0</v>
      </c>
      <c r="G15" s="106"/>
      <c r="H15" s="104"/>
      <c r="I15" s="104"/>
    </row>
    <row r="16" spans="1:9" ht="9.9499999999999993" customHeight="1" x14ac:dyDescent="0.2">
      <c r="A16" s="106"/>
      <c r="B16" s="106"/>
      <c r="C16" s="106"/>
      <c r="D16" s="106"/>
      <c r="E16" s="106"/>
      <c r="F16" s="106"/>
      <c r="G16" s="106"/>
      <c r="H16" s="104"/>
      <c r="I16" s="104"/>
    </row>
    <row r="17" spans="1:9" ht="9.9499999999999993" customHeight="1" x14ac:dyDescent="0.2">
      <c r="A17" s="106">
        <f>IF(A2="WÄHRUNG!",0,SUM(B4:B15))</f>
        <v>165</v>
      </c>
      <c r="B17" s="106"/>
      <c r="C17" s="106"/>
      <c r="D17" s="106"/>
      <c r="E17" s="106"/>
      <c r="F17" s="106"/>
      <c r="G17" s="106">
        <f>SUM(G4:G15)</f>
        <v>548</v>
      </c>
      <c r="H17" s="104"/>
      <c r="I17" s="104"/>
    </row>
    <row r="18" spans="1:9" ht="9.9499999999999993" customHeight="1" x14ac:dyDescent="0.2">
      <c r="A18" s="104"/>
      <c r="B18" s="104"/>
      <c r="C18" s="104"/>
      <c r="D18" s="104"/>
      <c r="E18" s="104"/>
      <c r="F18" s="104"/>
      <c r="G18" s="104"/>
      <c r="H18" s="104"/>
      <c r="I18" s="104"/>
    </row>
    <row r="19" spans="1:9" ht="9.9499999999999993" customHeight="1" x14ac:dyDescent="0.2">
      <c r="A19" s="107" t="s">
        <v>22</v>
      </c>
      <c r="B19" s="103"/>
      <c r="C19" s="103"/>
      <c r="D19" s="103"/>
      <c r="E19" s="103"/>
      <c r="F19" s="103"/>
      <c r="G19" s="103"/>
      <c r="H19" s="104"/>
      <c r="I19" s="104"/>
    </row>
    <row r="20" spans="1:9" ht="9.9499999999999993" customHeight="1" x14ac:dyDescent="0.2">
      <c r="A20" s="105">
        <f>Kaufvertrag!$B$5</f>
        <v>100000</v>
      </c>
      <c r="B20" s="106"/>
      <c r="C20" s="106"/>
      <c r="D20" s="106"/>
      <c r="E20" s="106"/>
      <c r="F20" s="106"/>
      <c r="G20" s="106"/>
      <c r="H20" s="104"/>
      <c r="I20" s="104"/>
    </row>
    <row r="21" spans="1:9" ht="9.9499999999999993" customHeight="1" x14ac:dyDescent="0.2">
      <c r="A21" s="106"/>
      <c r="B21" s="106"/>
      <c r="C21" s="106"/>
      <c r="D21" s="106"/>
      <c r="E21" s="106"/>
      <c r="F21" s="106" t="s">
        <v>51</v>
      </c>
      <c r="G21" s="106" t="s">
        <v>52</v>
      </c>
      <c r="H21" s="104"/>
      <c r="I21" s="104"/>
    </row>
    <row r="22" spans="1:9" ht="9.9499999999999993" customHeight="1" x14ac:dyDescent="0.2">
      <c r="A22" s="106" t="s">
        <v>33</v>
      </c>
      <c r="B22" s="106">
        <f>IF(A20&gt;0,15,0)</f>
        <v>15</v>
      </c>
      <c r="C22" s="106"/>
      <c r="D22" s="106"/>
      <c r="E22" s="106"/>
      <c r="F22" s="106"/>
      <c r="G22" s="106">
        <v>35</v>
      </c>
      <c r="H22" s="104"/>
      <c r="I22" s="104"/>
    </row>
    <row r="23" spans="1:9" ht="9.9499999999999993" customHeight="1" x14ac:dyDescent="0.2">
      <c r="A23" s="106" t="s">
        <v>34</v>
      </c>
      <c r="B23" s="106">
        <f>F23</f>
        <v>12</v>
      </c>
      <c r="C23" s="105">
        <f>A20-500</f>
        <v>99500</v>
      </c>
      <c r="D23" s="106">
        <f>IF(C23&lt;=0,0,C23/500)</f>
        <v>199</v>
      </c>
      <c r="E23" s="106">
        <f t="shared" ref="E23:E33" si="2">ROUNDUP(D23,0)</f>
        <v>199</v>
      </c>
      <c r="F23" s="106">
        <f>IF(E23&gt;D77,F77,E23*4)</f>
        <v>12</v>
      </c>
      <c r="G23" s="106">
        <f>IF(E23&gt;D77,H77,E23*17)</f>
        <v>51</v>
      </c>
      <c r="H23" s="104"/>
      <c r="I23" s="104"/>
    </row>
    <row r="24" spans="1:9" ht="9.9499999999999993" customHeight="1" x14ac:dyDescent="0.2">
      <c r="A24" s="106" t="s">
        <v>35</v>
      </c>
      <c r="B24" s="106">
        <f t="shared" ref="B24:B33" si="3">F24</f>
        <v>48</v>
      </c>
      <c r="C24" s="105">
        <f>A20-2000</f>
        <v>98000</v>
      </c>
      <c r="D24" s="106">
        <f>IF(C24&lt;=0,0,C24/1000)</f>
        <v>98</v>
      </c>
      <c r="E24" s="106">
        <f t="shared" si="2"/>
        <v>98</v>
      </c>
      <c r="F24" s="106">
        <f>IF(E24&gt;D78,F78,E24*6)</f>
        <v>48</v>
      </c>
      <c r="G24" s="106">
        <f>IF(E24&gt;D78,H78,E24*19)</f>
        <v>152</v>
      </c>
      <c r="H24" s="104"/>
      <c r="I24" s="104"/>
    </row>
    <row r="25" spans="1:9" ht="9.9499999999999993" customHeight="1" x14ac:dyDescent="0.2">
      <c r="A25" s="106" t="s">
        <v>36</v>
      </c>
      <c r="B25" s="106">
        <f t="shared" si="3"/>
        <v>40</v>
      </c>
      <c r="C25" s="105">
        <f>A20-10000</f>
        <v>90000</v>
      </c>
      <c r="D25" s="106">
        <f>IF(C25&lt;=0,0,C25/3000)</f>
        <v>30</v>
      </c>
      <c r="E25" s="106">
        <f t="shared" si="2"/>
        <v>30</v>
      </c>
      <c r="F25" s="106">
        <f>IF(E25&gt;D79,F79,E25*8)</f>
        <v>40</v>
      </c>
      <c r="G25" s="106">
        <f>IF(E25&gt;D79,H79,E25*25)</f>
        <v>125</v>
      </c>
      <c r="H25" s="104"/>
      <c r="I25" s="104"/>
    </row>
    <row r="26" spans="1:9" ht="9.9499999999999993" customHeight="1" x14ac:dyDescent="0.2">
      <c r="A26" s="106" t="s">
        <v>37</v>
      </c>
      <c r="B26" s="106">
        <f t="shared" si="3"/>
        <v>50</v>
      </c>
      <c r="C26" s="105">
        <f>A20-25000</f>
        <v>75000</v>
      </c>
      <c r="D26" s="106">
        <f>IF(C26&lt;=0,0,C26/5000)</f>
        <v>15</v>
      </c>
      <c r="E26" s="106">
        <f t="shared" si="2"/>
        <v>15</v>
      </c>
      <c r="F26" s="106">
        <f>IF(E26&gt;D80,F80,E26*10)</f>
        <v>50</v>
      </c>
      <c r="G26" s="106">
        <f>IF(E26&gt;D80,H80,E26*37)</f>
        <v>185</v>
      </c>
      <c r="H26" s="104"/>
      <c r="I26" s="104"/>
    </row>
    <row r="27" spans="1:9" ht="9.9499999999999993" customHeight="1" x14ac:dyDescent="0.2">
      <c r="A27" s="106" t="s">
        <v>38</v>
      </c>
      <c r="B27" s="106">
        <f t="shared" si="3"/>
        <v>108</v>
      </c>
      <c r="C27" s="105">
        <f>A20-50000</f>
        <v>50000</v>
      </c>
      <c r="D27" s="106">
        <f>IF(C27&lt;=0,0,C27/15000)</f>
        <v>3.3333333333333335</v>
      </c>
      <c r="E27" s="106">
        <f t="shared" si="2"/>
        <v>4</v>
      </c>
      <c r="F27" s="106">
        <f>IF(E27&gt;D81,F81,E27*27)</f>
        <v>108</v>
      </c>
      <c r="G27" s="106">
        <f>IF(E27&gt;D81,H81,E27*117)</f>
        <v>468</v>
      </c>
      <c r="H27" s="104"/>
      <c r="I27" s="104"/>
    </row>
    <row r="28" spans="1:9" ht="9.9499999999999993" customHeight="1" x14ac:dyDescent="0.2">
      <c r="A28" s="106" t="s">
        <v>39</v>
      </c>
      <c r="B28" s="106">
        <f t="shared" si="3"/>
        <v>0</v>
      </c>
      <c r="C28" s="105">
        <f>A20-200000</f>
        <v>-100000</v>
      </c>
      <c r="D28" s="106">
        <f>IF(C28&lt;=0,0,C28/30000)</f>
        <v>0</v>
      </c>
      <c r="E28" s="106">
        <f t="shared" si="2"/>
        <v>0</v>
      </c>
      <c r="F28" s="106">
        <f>IF(E28&gt;D82,F82,E28*50)</f>
        <v>0</v>
      </c>
      <c r="G28" s="106">
        <f>IF(E28&gt;D82,H82,E28*177)</f>
        <v>0</v>
      </c>
      <c r="H28" s="104"/>
      <c r="I28" s="104"/>
    </row>
    <row r="29" spans="1:9" ht="9.9499999999999993" customHeight="1" x14ac:dyDescent="0.2">
      <c r="A29" s="106" t="s">
        <v>40</v>
      </c>
      <c r="B29" s="106">
        <f t="shared" si="3"/>
        <v>0</v>
      </c>
      <c r="C29" s="105">
        <f>A20-500000</f>
        <v>-400000</v>
      </c>
      <c r="D29" s="106">
        <f>IF(C29&lt;=0,0,C29/50000)</f>
        <v>0</v>
      </c>
      <c r="E29" s="106">
        <f t="shared" si="2"/>
        <v>0</v>
      </c>
      <c r="F29" s="106">
        <f>IF(E29&gt;D83,F83,E29*80)</f>
        <v>0</v>
      </c>
      <c r="G29" s="106">
        <f>IF(E29&gt;590,H83,E29*177)</f>
        <v>0</v>
      </c>
      <c r="H29" s="104"/>
      <c r="I29" s="104"/>
    </row>
    <row r="30" spans="1:9" ht="9.9499999999999993" customHeight="1" x14ac:dyDescent="0.2">
      <c r="A30" s="106" t="s">
        <v>41</v>
      </c>
      <c r="B30" s="106">
        <f t="shared" si="3"/>
        <v>0</v>
      </c>
      <c r="C30" s="105">
        <f>A20-5000000</f>
        <v>-4900000</v>
      </c>
      <c r="D30" s="106">
        <f>IF(C30&lt;=0,0,C30/200000)</f>
        <v>0</v>
      </c>
      <c r="E30" s="106">
        <f t="shared" si="2"/>
        <v>0</v>
      </c>
      <c r="F30" s="106">
        <f>IF(E30&gt;D84,F84,E30*130)</f>
        <v>0</v>
      </c>
      <c r="G30" s="106"/>
      <c r="H30" s="104"/>
      <c r="I30" s="104"/>
    </row>
    <row r="31" spans="1:9" ht="9.9499999999999993" customHeight="1" x14ac:dyDescent="0.2">
      <c r="A31" s="106" t="s">
        <v>42</v>
      </c>
      <c r="B31" s="106">
        <f t="shared" si="3"/>
        <v>0</v>
      </c>
      <c r="C31" s="105">
        <f>A20-10000000</f>
        <v>-9900000</v>
      </c>
      <c r="D31" s="106">
        <f>IF(C31&lt;=0,0,C31/250000)</f>
        <v>0</v>
      </c>
      <c r="E31" s="106">
        <f t="shared" si="2"/>
        <v>0</v>
      </c>
      <c r="F31" s="106">
        <f>IF(E31&gt;D85,F85,E31*150)</f>
        <v>0</v>
      </c>
      <c r="G31" s="106"/>
      <c r="H31" s="104"/>
      <c r="I31" s="104"/>
    </row>
    <row r="32" spans="1:9" ht="9.9499999999999993" customHeight="1" x14ac:dyDescent="0.2">
      <c r="A32" s="106" t="s">
        <v>43</v>
      </c>
      <c r="B32" s="106">
        <f t="shared" si="3"/>
        <v>0</v>
      </c>
      <c r="C32" s="105">
        <f>A20-20000000</f>
        <v>-19900000</v>
      </c>
      <c r="D32" s="106">
        <f>IF(C32&lt;=0,0,C32/500000)</f>
        <v>0</v>
      </c>
      <c r="E32" s="106">
        <f t="shared" si="2"/>
        <v>0</v>
      </c>
      <c r="F32" s="106">
        <f>IF(E32&gt;D86,F86,E32*280)</f>
        <v>0</v>
      </c>
      <c r="G32" s="106"/>
      <c r="H32" s="104"/>
      <c r="I32" s="104"/>
    </row>
    <row r="33" spans="1:9" ht="9.9499999999999993" customHeight="1" x14ac:dyDescent="0.2">
      <c r="A33" s="106" t="s">
        <v>44</v>
      </c>
      <c r="B33" s="106">
        <f t="shared" si="3"/>
        <v>0</v>
      </c>
      <c r="C33" s="105">
        <f>A20-30000000</f>
        <v>-29900000</v>
      </c>
      <c r="D33" s="106">
        <f>IF(C33&lt;=0,0,C33/1000000)</f>
        <v>0</v>
      </c>
      <c r="E33" s="106">
        <f t="shared" si="2"/>
        <v>0</v>
      </c>
      <c r="F33" s="106">
        <f>IF(E33&gt;D87,F87,E33*120)</f>
        <v>0</v>
      </c>
      <c r="G33" s="106"/>
      <c r="H33" s="104"/>
      <c r="I33" s="104"/>
    </row>
    <row r="34" spans="1:9" ht="9.9499999999999993" customHeight="1" x14ac:dyDescent="0.2">
      <c r="A34" s="106"/>
      <c r="B34" s="106"/>
      <c r="C34" s="106"/>
      <c r="D34" s="106"/>
      <c r="E34" s="106"/>
      <c r="F34" s="106"/>
      <c r="G34" s="106"/>
      <c r="H34" s="104"/>
      <c r="I34" s="104"/>
    </row>
    <row r="35" spans="1:9" ht="9.9499999999999993" customHeight="1" x14ac:dyDescent="0.2">
      <c r="A35" s="106">
        <f>IF(A20="WÄHRUNG!",0,SUM(B22:B33))</f>
        <v>273</v>
      </c>
      <c r="B35" s="106"/>
      <c r="C35" s="106"/>
      <c r="D35" s="106"/>
      <c r="E35" s="106"/>
      <c r="F35" s="106"/>
      <c r="G35" s="106">
        <f>SUM(G22:G33)</f>
        <v>1016</v>
      </c>
      <c r="H35" s="104"/>
      <c r="I35" s="104"/>
    </row>
    <row r="36" spans="1:9" ht="9.9499999999999993" customHeight="1" x14ac:dyDescent="0.2">
      <c r="A36" s="108" t="s">
        <v>21</v>
      </c>
      <c r="B36" s="103"/>
      <c r="C36" s="103"/>
      <c r="D36" s="103"/>
      <c r="E36" s="103"/>
      <c r="F36" s="103"/>
      <c r="G36" s="103"/>
      <c r="H36" s="104"/>
      <c r="I36" s="104"/>
    </row>
    <row r="37" spans="1:9" ht="9.9499999999999993" customHeight="1" x14ac:dyDescent="0.2">
      <c r="A37" s="105">
        <f>Kaufvertrag!$B$19</f>
        <v>0</v>
      </c>
      <c r="B37" s="106"/>
      <c r="C37" s="106"/>
      <c r="D37" s="106"/>
      <c r="E37" s="106"/>
      <c r="F37" s="106"/>
      <c r="G37" s="106"/>
      <c r="H37" s="104"/>
      <c r="I37" s="104"/>
    </row>
    <row r="38" spans="1:9" ht="9.9499999999999993" customHeight="1" x14ac:dyDescent="0.2">
      <c r="A38" s="106"/>
      <c r="B38" s="106"/>
      <c r="C38" s="106"/>
      <c r="D38" s="106"/>
      <c r="E38" s="106"/>
      <c r="F38" s="106" t="s">
        <v>51</v>
      </c>
      <c r="G38" s="106" t="s">
        <v>52</v>
      </c>
      <c r="H38" s="104"/>
      <c r="I38" s="104"/>
    </row>
    <row r="39" spans="1:9" ht="9.9499999999999993" customHeight="1" x14ac:dyDescent="0.2">
      <c r="A39" s="106" t="s">
        <v>33</v>
      </c>
      <c r="B39" s="106">
        <f>IF(A37&gt;0,15,0)</f>
        <v>0</v>
      </c>
      <c r="C39" s="106"/>
      <c r="D39" s="106"/>
      <c r="E39" s="106"/>
      <c r="F39" s="106"/>
      <c r="G39" s="106">
        <v>35</v>
      </c>
      <c r="H39" s="104"/>
      <c r="I39" s="104"/>
    </row>
    <row r="40" spans="1:9" ht="9.9499999999999993" customHeight="1" x14ac:dyDescent="0.2">
      <c r="A40" s="106" t="s">
        <v>34</v>
      </c>
      <c r="B40" s="106">
        <f>F40</f>
        <v>0</v>
      </c>
      <c r="C40" s="105">
        <f>A37-500</f>
        <v>-500</v>
      </c>
      <c r="D40" s="106">
        <f>IF(C40&lt;=0,0,C40/500)</f>
        <v>0</v>
      </c>
      <c r="E40" s="106">
        <f t="shared" ref="E40:E50" si="4">ROUNDUP(D40,0)</f>
        <v>0</v>
      </c>
      <c r="F40" s="106">
        <f>IF(E40&gt;D77,F77,E40*4)</f>
        <v>0</v>
      </c>
      <c r="G40" s="106">
        <f>IF(E40&gt;D$77,H$77,E40*17)</f>
        <v>0</v>
      </c>
      <c r="H40" s="104"/>
      <c r="I40" s="104"/>
    </row>
    <row r="41" spans="1:9" ht="9.9499999999999993" customHeight="1" x14ac:dyDescent="0.2">
      <c r="A41" s="106" t="s">
        <v>35</v>
      </c>
      <c r="B41" s="106">
        <f t="shared" ref="B41:B50" si="5">F41</f>
        <v>0</v>
      </c>
      <c r="C41" s="105">
        <f>A37-2000</f>
        <v>-2000</v>
      </c>
      <c r="D41" s="106">
        <f>IF(C41&lt;=0,0,C41/1000)</f>
        <v>0</v>
      </c>
      <c r="E41" s="106">
        <f t="shared" si="4"/>
        <v>0</v>
      </c>
      <c r="F41" s="106">
        <f>IF(E41&gt;D78,F78,E41*6)</f>
        <v>0</v>
      </c>
      <c r="G41" s="106">
        <f>IF(E41&gt;D$78,H$78,E41*19)</f>
        <v>0</v>
      </c>
      <c r="H41" s="104"/>
      <c r="I41" s="104"/>
    </row>
    <row r="42" spans="1:9" ht="9.9499999999999993" customHeight="1" x14ac:dyDescent="0.2">
      <c r="A42" s="106" t="s">
        <v>36</v>
      </c>
      <c r="B42" s="106">
        <f t="shared" si="5"/>
        <v>0</v>
      </c>
      <c r="C42" s="105">
        <f>A37-10000</f>
        <v>-10000</v>
      </c>
      <c r="D42" s="106">
        <f>IF(C42&lt;=0,0,C42/3000)</f>
        <v>0</v>
      </c>
      <c r="E42" s="106">
        <f t="shared" si="4"/>
        <v>0</v>
      </c>
      <c r="F42" s="106">
        <f>IF(E42&gt;D79,F79,E42*8)</f>
        <v>0</v>
      </c>
      <c r="G42" s="106">
        <f>IF(E42&gt;D$79,H$79,E42*25)</f>
        <v>0</v>
      </c>
      <c r="H42" s="104"/>
      <c r="I42" s="104"/>
    </row>
    <row r="43" spans="1:9" ht="9.9499999999999993" customHeight="1" x14ac:dyDescent="0.2">
      <c r="A43" s="106" t="s">
        <v>37</v>
      </c>
      <c r="B43" s="106">
        <f t="shared" si="5"/>
        <v>0</v>
      </c>
      <c r="C43" s="105">
        <f>A37-25000</f>
        <v>-25000</v>
      </c>
      <c r="D43" s="106">
        <f>IF(C43&lt;=0,0,C43/5000)</f>
        <v>0</v>
      </c>
      <c r="E43" s="106">
        <f t="shared" si="4"/>
        <v>0</v>
      </c>
      <c r="F43" s="106">
        <f>IF(E43&gt;D80,F80,E43*10)</f>
        <v>0</v>
      </c>
      <c r="G43" s="106">
        <f>IF(E43&gt;D$80,H$80,E43*37)</f>
        <v>0</v>
      </c>
      <c r="H43" s="104"/>
      <c r="I43" s="104"/>
    </row>
    <row r="44" spans="1:9" ht="9.9499999999999993" customHeight="1" x14ac:dyDescent="0.2">
      <c r="A44" s="106" t="s">
        <v>38</v>
      </c>
      <c r="B44" s="106">
        <f t="shared" si="5"/>
        <v>0</v>
      </c>
      <c r="C44" s="105">
        <f>A37-50000</f>
        <v>-50000</v>
      </c>
      <c r="D44" s="106">
        <f>IF(C44&lt;=0,0,C44/15000)</f>
        <v>0</v>
      </c>
      <c r="E44" s="106">
        <f t="shared" si="4"/>
        <v>0</v>
      </c>
      <c r="F44" s="106">
        <f>IF(E44&gt;D81,F81,E44*27)</f>
        <v>0</v>
      </c>
      <c r="G44" s="106">
        <f>IF(E44&gt;D$81,H$81,E44*117)</f>
        <v>0</v>
      </c>
      <c r="H44" s="104"/>
      <c r="I44" s="104"/>
    </row>
    <row r="45" spans="1:9" ht="9.9499999999999993" customHeight="1" x14ac:dyDescent="0.2">
      <c r="A45" s="106" t="s">
        <v>39</v>
      </c>
      <c r="B45" s="106">
        <f t="shared" si="5"/>
        <v>0</v>
      </c>
      <c r="C45" s="105">
        <f>A37-200000</f>
        <v>-200000</v>
      </c>
      <c r="D45" s="106">
        <f>IF(C45&lt;=0,0,C45/30000)</f>
        <v>0</v>
      </c>
      <c r="E45" s="106">
        <f t="shared" si="4"/>
        <v>0</v>
      </c>
      <c r="F45" s="106">
        <f>IF(E45&gt;D82,F82,E45*50)</f>
        <v>0</v>
      </c>
      <c r="G45" s="106">
        <f>IF(E45&gt;D$82,H$82,E45*177)</f>
        <v>0</v>
      </c>
      <c r="H45" s="104"/>
      <c r="I45" s="104"/>
    </row>
    <row r="46" spans="1:9" ht="9.9499999999999993" customHeight="1" x14ac:dyDescent="0.2">
      <c r="A46" s="106" t="s">
        <v>40</v>
      </c>
      <c r="B46" s="106">
        <f t="shared" si="5"/>
        <v>0</v>
      </c>
      <c r="C46" s="105">
        <f>A37-500000</f>
        <v>-500000</v>
      </c>
      <c r="D46" s="106">
        <f>IF(C46&lt;=0,0,C46/50000)</f>
        <v>0</v>
      </c>
      <c r="E46" s="106">
        <f t="shared" si="4"/>
        <v>0</v>
      </c>
      <c r="F46" s="106">
        <f>IF(E46&gt;D83,F83,E46*80)</f>
        <v>0</v>
      </c>
      <c r="G46" s="106">
        <f>IF(E46&gt;590,H$83,E46*177)</f>
        <v>0</v>
      </c>
      <c r="H46" s="104"/>
      <c r="I46" s="104"/>
    </row>
    <row r="47" spans="1:9" ht="9.9499999999999993" customHeight="1" x14ac:dyDescent="0.2">
      <c r="A47" s="106" t="s">
        <v>41</v>
      </c>
      <c r="B47" s="106">
        <f t="shared" si="5"/>
        <v>0</v>
      </c>
      <c r="C47" s="105">
        <f>A37-5000000</f>
        <v>-5000000</v>
      </c>
      <c r="D47" s="106">
        <f>IF(C47&lt;=0,0,C47/200000)</f>
        <v>0</v>
      </c>
      <c r="E47" s="106">
        <f t="shared" si="4"/>
        <v>0</v>
      </c>
      <c r="F47" s="106">
        <f>IF(E47&gt;D84,F84,E47*130)</f>
        <v>0</v>
      </c>
      <c r="G47" s="106"/>
      <c r="H47" s="104"/>
      <c r="I47" s="104"/>
    </row>
    <row r="48" spans="1:9" ht="9.9499999999999993" customHeight="1" x14ac:dyDescent="0.2">
      <c r="A48" s="106" t="s">
        <v>42</v>
      </c>
      <c r="B48" s="106">
        <f t="shared" si="5"/>
        <v>0</v>
      </c>
      <c r="C48" s="105">
        <f>A37-10000000</f>
        <v>-10000000</v>
      </c>
      <c r="D48" s="106">
        <f>IF(C48&lt;=0,0,C48/250000)</f>
        <v>0</v>
      </c>
      <c r="E48" s="106">
        <f t="shared" si="4"/>
        <v>0</v>
      </c>
      <c r="F48" s="106">
        <f>IF(E48&gt;D85,F85,E48*150)</f>
        <v>0</v>
      </c>
      <c r="G48" s="106"/>
      <c r="H48" s="104"/>
      <c r="I48" s="104"/>
    </row>
    <row r="49" spans="1:9" ht="9.9499999999999993" customHeight="1" x14ac:dyDescent="0.2">
      <c r="A49" s="106" t="s">
        <v>43</v>
      </c>
      <c r="B49" s="106">
        <f t="shared" si="5"/>
        <v>0</v>
      </c>
      <c r="C49" s="105">
        <f>A37-20000000</f>
        <v>-20000000</v>
      </c>
      <c r="D49" s="106">
        <f>IF(C49&lt;=0,0,C49/500000)</f>
        <v>0</v>
      </c>
      <c r="E49" s="106">
        <f t="shared" si="4"/>
        <v>0</v>
      </c>
      <c r="F49" s="106">
        <f>IF(E49&gt;D86,F86,E49*280)</f>
        <v>0</v>
      </c>
      <c r="G49" s="106"/>
      <c r="H49" s="104"/>
      <c r="I49" s="104"/>
    </row>
    <row r="50" spans="1:9" ht="9.9499999999999993" customHeight="1" x14ac:dyDescent="0.2">
      <c r="A50" s="106" t="s">
        <v>44</v>
      </c>
      <c r="B50" s="106">
        <f t="shared" si="5"/>
        <v>0</v>
      </c>
      <c r="C50" s="105">
        <f>A37-30000000</f>
        <v>-30000000</v>
      </c>
      <c r="D50" s="106">
        <f>IF(C50&lt;=0,0,C50/1000000)</f>
        <v>0</v>
      </c>
      <c r="E50" s="106">
        <f t="shared" si="4"/>
        <v>0</v>
      </c>
      <c r="F50" s="106">
        <f>IF(E50&gt;D87,F87,E50*120)</f>
        <v>0</v>
      </c>
      <c r="G50" s="106"/>
      <c r="H50" s="104"/>
      <c r="I50" s="104"/>
    </row>
    <row r="51" spans="1:9" ht="9.9499999999999993" customHeight="1" x14ac:dyDescent="0.2">
      <c r="A51" s="106">
        <f>IF(A37="WÄHRUNG!",0,SUM(B39:B50))</f>
        <v>0</v>
      </c>
      <c r="B51" s="104"/>
      <c r="C51" s="104"/>
      <c r="D51" s="104"/>
      <c r="E51" s="104"/>
      <c r="F51" s="104"/>
      <c r="G51" s="104">
        <f>SUM(G39:G50)</f>
        <v>35</v>
      </c>
      <c r="H51" s="104"/>
      <c r="I51" s="104"/>
    </row>
    <row r="52" spans="1:9" ht="9.9499999999999993" customHeight="1" x14ac:dyDescent="0.2">
      <c r="A52" s="104"/>
      <c r="B52" s="104"/>
      <c r="C52" s="104"/>
      <c r="D52" s="104"/>
      <c r="E52" s="104"/>
      <c r="F52" s="104"/>
      <c r="G52" s="104"/>
      <c r="H52" s="104"/>
      <c r="I52" s="104"/>
    </row>
    <row r="53" spans="1:9" ht="9.9499999999999993" customHeight="1" x14ac:dyDescent="0.2">
      <c r="A53" s="104"/>
      <c r="B53" s="104"/>
      <c r="C53" s="104"/>
      <c r="D53" s="104"/>
      <c r="E53" s="104"/>
      <c r="F53" s="104"/>
      <c r="G53" s="104"/>
      <c r="H53" s="104"/>
      <c r="I53" s="104"/>
    </row>
    <row r="54" spans="1:9" ht="9.9499999999999993" customHeight="1" x14ac:dyDescent="0.2">
      <c r="A54" s="104"/>
      <c r="B54" s="104"/>
      <c r="C54" s="104"/>
      <c r="D54" s="104"/>
      <c r="E54" s="104"/>
      <c r="F54" s="104"/>
      <c r="G54" s="104"/>
      <c r="H54" s="104"/>
      <c r="I54" s="104"/>
    </row>
    <row r="55" spans="1:9" ht="9.9499999999999993" customHeight="1" x14ac:dyDescent="0.2">
      <c r="A55" s="104"/>
      <c r="B55" s="104"/>
      <c r="C55" s="104"/>
      <c r="D55" s="104"/>
      <c r="E55" s="104"/>
      <c r="F55" s="104"/>
      <c r="G55" s="104"/>
      <c r="H55" s="104"/>
      <c r="I55" s="104"/>
    </row>
    <row r="56" spans="1:9" ht="9.9499999999999993" customHeight="1" x14ac:dyDescent="0.2">
      <c r="A56" s="102" t="s">
        <v>24</v>
      </c>
      <c r="B56" s="106"/>
      <c r="C56" s="106"/>
      <c r="D56" s="106"/>
      <c r="E56" s="106"/>
      <c r="F56" s="106"/>
      <c r="G56" s="106"/>
      <c r="H56" s="104"/>
      <c r="I56" s="104"/>
    </row>
    <row r="57" spans="1:9" ht="9.9499999999999993" customHeight="1" x14ac:dyDescent="0.2">
      <c r="A57" s="105">
        <f>Übertragungsvertrag!$B$4</f>
        <v>152000</v>
      </c>
      <c r="B57" s="106"/>
      <c r="C57" s="106"/>
      <c r="D57" s="106"/>
      <c r="E57" s="106"/>
      <c r="F57" s="106"/>
      <c r="G57" s="106"/>
      <c r="H57" s="104"/>
      <c r="I57" s="104"/>
    </row>
    <row r="58" spans="1:9" ht="9.9499999999999993" customHeight="1" x14ac:dyDescent="0.2">
      <c r="A58" s="106"/>
      <c r="B58" s="106"/>
      <c r="C58" s="106"/>
      <c r="D58" s="106"/>
      <c r="E58" s="106"/>
      <c r="F58" s="106" t="s">
        <v>51</v>
      </c>
      <c r="G58" s="106" t="s">
        <v>52</v>
      </c>
      <c r="H58" s="104"/>
      <c r="I58" s="104"/>
    </row>
    <row r="59" spans="1:9" ht="9.9499999999999993" customHeight="1" x14ac:dyDescent="0.2">
      <c r="A59" s="106" t="s">
        <v>33</v>
      </c>
      <c r="B59" s="106">
        <f>IF(A57&gt;0,15,0)</f>
        <v>15</v>
      </c>
      <c r="C59" s="106"/>
      <c r="D59" s="106"/>
      <c r="E59" s="106"/>
      <c r="F59" s="106"/>
      <c r="G59" s="106">
        <v>35</v>
      </c>
      <c r="H59" s="104"/>
      <c r="I59" s="104"/>
    </row>
    <row r="60" spans="1:9" ht="9.9499999999999993" customHeight="1" x14ac:dyDescent="0.2">
      <c r="A60" s="106" t="s">
        <v>34</v>
      </c>
      <c r="B60" s="106">
        <f>F60</f>
        <v>12</v>
      </c>
      <c r="C60" s="105">
        <f>A57-500</f>
        <v>151500</v>
      </c>
      <c r="D60" s="106">
        <f>IF(C60&lt;=0,0,C60/500)</f>
        <v>303</v>
      </c>
      <c r="E60" s="106">
        <f t="shared" ref="E60:E70" si="6">ROUNDUP(D60,0)</f>
        <v>303</v>
      </c>
      <c r="F60" s="106">
        <f>IF(E60&gt;D77,F77,E60*4)</f>
        <v>12</v>
      </c>
      <c r="G60" s="106">
        <f>IF(E60&gt;D$77,H$77,E60*17)</f>
        <v>51</v>
      </c>
      <c r="H60" s="104"/>
      <c r="I60" s="104"/>
    </row>
    <row r="61" spans="1:9" ht="9.9499999999999993" customHeight="1" x14ac:dyDescent="0.2">
      <c r="A61" s="106" t="s">
        <v>35</v>
      </c>
      <c r="B61" s="106">
        <f t="shared" ref="B61:B70" si="7">F61</f>
        <v>48</v>
      </c>
      <c r="C61" s="105">
        <f>A57-2000</f>
        <v>150000</v>
      </c>
      <c r="D61" s="106">
        <f>IF(C61&lt;=0,0,C61/1000)</f>
        <v>150</v>
      </c>
      <c r="E61" s="106">
        <f t="shared" si="6"/>
        <v>150</v>
      </c>
      <c r="F61" s="106">
        <f>IF(E61&gt;D78,F78,E61*6)</f>
        <v>48</v>
      </c>
      <c r="G61" s="106">
        <f>IF(E61&gt;D$78,H$78,E61*19)</f>
        <v>152</v>
      </c>
      <c r="H61" s="104"/>
      <c r="I61" s="104"/>
    </row>
    <row r="62" spans="1:9" ht="9.9499999999999993" customHeight="1" x14ac:dyDescent="0.2">
      <c r="A62" s="106" t="s">
        <v>36</v>
      </c>
      <c r="B62" s="106">
        <f t="shared" si="7"/>
        <v>40</v>
      </c>
      <c r="C62" s="105">
        <f>A57-10000</f>
        <v>142000</v>
      </c>
      <c r="D62" s="106">
        <f>IF(C62&lt;=0,0,C62/3000)</f>
        <v>47.333333333333336</v>
      </c>
      <c r="E62" s="106">
        <f t="shared" si="6"/>
        <v>48</v>
      </c>
      <c r="F62" s="106">
        <f>IF(E62&gt;D79,F79,E62*8)</f>
        <v>40</v>
      </c>
      <c r="G62" s="106">
        <f>IF(E62&gt;D$79,H$79,E62*25)</f>
        <v>125</v>
      </c>
      <c r="H62" s="104"/>
      <c r="I62" s="104"/>
    </row>
    <row r="63" spans="1:9" ht="9.9499999999999993" customHeight="1" x14ac:dyDescent="0.2">
      <c r="A63" s="106" t="s">
        <v>37</v>
      </c>
      <c r="B63" s="106">
        <f t="shared" si="7"/>
        <v>50</v>
      </c>
      <c r="C63" s="105">
        <f>A57-25000</f>
        <v>127000</v>
      </c>
      <c r="D63" s="106">
        <f>IF(C63&lt;=0,0,C63/5000)</f>
        <v>25.4</v>
      </c>
      <c r="E63" s="106">
        <f t="shared" si="6"/>
        <v>26</v>
      </c>
      <c r="F63" s="106">
        <f>IF(E63&gt;D80,F80,E63*10)</f>
        <v>50</v>
      </c>
      <c r="G63" s="106">
        <f>IF(E63&gt;D$80,H$80,E63*37)</f>
        <v>185</v>
      </c>
      <c r="H63" s="104"/>
      <c r="I63" s="104"/>
    </row>
    <row r="64" spans="1:9" ht="9.9499999999999993" customHeight="1" x14ac:dyDescent="0.2">
      <c r="A64" s="106" t="s">
        <v>38</v>
      </c>
      <c r="B64" s="106">
        <f t="shared" si="7"/>
        <v>189</v>
      </c>
      <c r="C64" s="105">
        <f>A57-50000</f>
        <v>102000</v>
      </c>
      <c r="D64" s="106">
        <f>IF(C64&lt;=0,0,C64/15000)</f>
        <v>6.8</v>
      </c>
      <c r="E64" s="106">
        <f t="shared" si="6"/>
        <v>7</v>
      </c>
      <c r="F64" s="106">
        <f>IF(E64&gt;D81,F81,E64*27)</f>
        <v>189</v>
      </c>
      <c r="G64" s="106">
        <f>IF(E64&gt;D$81,H$81,E64*117)</f>
        <v>819</v>
      </c>
      <c r="H64" s="104"/>
      <c r="I64" s="104"/>
    </row>
    <row r="65" spans="1:9" ht="9.9499999999999993" customHeight="1" x14ac:dyDescent="0.2">
      <c r="A65" s="106" t="s">
        <v>39</v>
      </c>
      <c r="B65" s="106">
        <f t="shared" si="7"/>
        <v>0</v>
      </c>
      <c r="C65" s="105">
        <f>A57-200000</f>
        <v>-48000</v>
      </c>
      <c r="D65" s="106">
        <f>IF(C65&lt;=0,0,C65/30000)</f>
        <v>0</v>
      </c>
      <c r="E65" s="106">
        <f t="shared" si="6"/>
        <v>0</v>
      </c>
      <c r="F65" s="106">
        <f>IF(E65&gt;D82,F82,E65*50)</f>
        <v>0</v>
      </c>
      <c r="G65" s="106">
        <f>IF(E65&gt;D$82,H$82,E65*177)</f>
        <v>0</v>
      </c>
      <c r="H65" s="104"/>
      <c r="I65" s="104"/>
    </row>
    <row r="66" spans="1:9" ht="9.9499999999999993" customHeight="1" x14ac:dyDescent="0.2">
      <c r="A66" s="106" t="s">
        <v>40</v>
      </c>
      <c r="B66" s="106">
        <f t="shared" si="7"/>
        <v>0</v>
      </c>
      <c r="C66" s="105">
        <f>A57-500000</f>
        <v>-348000</v>
      </c>
      <c r="D66" s="106">
        <f>IF(C66&lt;=0,0,C66/50000)</f>
        <v>0</v>
      </c>
      <c r="E66" s="106">
        <f t="shared" si="6"/>
        <v>0</v>
      </c>
      <c r="F66" s="106">
        <f>IF(E66&gt;D83,F83,E66*80)</f>
        <v>0</v>
      </c>
      <c r="G66" s="106">
        <f>IF(E66&gt;590,H$83,E66*177)</f>
        <v>0</v>
      </c>
      <c r="H66" s="104"/>
      <c r="I66" s="104"/>
    </row>
    <row r="67" spans="1:9" ht="9.9499999999999993" customHeight="1" x14ac:dyDescent="0.2">
      <c r="A67" s="106" t="s">
        <v>41</v>
      </c>
      <c r="B67" s="106">
        <f t="shared" si="7"/>
        <v>0</v>
      </c>
      <c r="C67" s="105">
        <f>A57-5000000</f>
        <v>-4848000</v>
      </c>
      <c r="D67" s="106">
        <f>IF(C67&lt;=0,0,C67/200000)</f>
        <v>0</v>
      </c>
      <c r="E67" s="106">
        <f t="shared" si="6"/>
        <v>0</v>
      </c>
      <c r="F67" s="106">
        <f>IF(E67&gt;D84,F84,E67*130)</f>
        <v>0</v>
      </c>
      <c r="G67" s="106"/>
      <c r="H67" s="104"/>
      <c r="I67" s="104"/>
    </row>
    <row r="68" spans="1:9" ht="9.9499999999999993" customHeight="1" x14ac:dyDescent="0.2">
      <c r="A68" s="106" t="s">
        <v>42</v>
      </c>
      <c r="B68" s="106">
        <f t="shared" si="7"/>
        <v>0</v>
      </c>
      <c r="C68" s="105">
        <f>A57-10000000</f>
        <v>-9848000</v>
      </c>
      <c r="D68" s="106">
        <f>IF(C68&lt;=0,0,C68/250000)</f>
        <v>0</v>
      </c>
      <c r="E68" s="106">
        <f t="shared" si="6"/>
        <v>0</v>
      </c>
      <c r="F68" s="106">
        <f>IF(E68&gt;D85,F85,E68*150)</f>
        <v>0</v>
      </c>
      <c r="G68" s="106"/>
      <c r="H68" s="104"/>
      <c r="I68" s="104"/>
    </row>
    <row r="69" spans="1:9" ht="9.9499999999999993" customHeight="1" x14ac:dyDescent="0.2">
      <c r="A69" s="106" t="s">
        <v>43</v>
      </c>
      <c r="B69" s="106">
        <f t="shared" si="7"/>
        <v>0</v>
      </c>
      <c r="C69" s="105">
        <f>A57-20000000</f>
        <v>-19848000</v>
      </c>
      <c r="D69" s="106">
        <f>IF(C69&lt;=0,0,C69/500000)</f>
        <v>0</v>
      </c>
      <c r="E69" s="106">
        <f t="shared" si="6"/>
        <v>0</v>
      </c>
      <c r="F69" s="106">
        <f>IF(E69&gt;D86,F86,E69*280)</f>
        <v>0</v>
      </c>
      <c r="G69" s="106"/>
      <c r="H69" s="104"/>
      <c r="I69" s="104"/>
    </row>
    <row r="70" spans="1:9" ht="9.9499999999999993" customHeight="1" x14ac:dyDescent="0.2">
      <c r="A70" s="106" t="s">
        <v>44</v>
      </c>
      <c r="B70" s="106">
        <f t="shared" si="7"/>
        <v>0</v>
      </c>
      <c r="C70" s="105">
        <f>A57-30000000</f>
        <v>-29848000</v>
      </c>
      <c r="D70" s="106">
        <f>IF(C70&lt;=0,0,C70/1000000)</f>
        <v>0</v>
      </c>
      <c r="E70" s="106">
        <f t="shared" si="6"/>
        <v>0</v>
      </c>
      <c r="F70" s="106">
        <f>IF(E70&gt;D87,F87,E70*120)</f>
        <v>0</v>
      </c>
      <c r="G70" s="106"/>
      <c r="H70" s="104"/>
      <c r="I70" s="104"/>
    </row>
    <row r="71" spans="1:9" ht="9.9499999999999993" customHeight="1" x14ac:dyDescent="0.2">
      <c r="A71" s="106"/>
      <c r="B71" s="106"/>
      <c r="C71" s="106"/>
      <c r="D71" s="106"/>
      <c r="E71" s="106"/>
      <c r="F71" s="106"/>
      <c r="G71" s="106"/>
      <c r="H71" s="104"/>
      <c r="I71" s="104"/>
    </row>
    <row r="72" spans="1:9" ht="9.9499999999999993" customHeight="1" x14ac:dyDescent="0.2">
      <c r="A72" s="106">
        <f>IF(A57="WÄHRUNG!",0,SUM(B59:B70))</f>
        <v>354</v>
      </c>
      <c r="B72" s="106"/>
      <c r="C72" s="106"/>
      <c r="D72" s="106"/>
      <c r="E72" s="106"/>
      <c r="F72" s="106"/>
      <c r="G72" s="106">
        <f>SUM(G59:G70)</f>
        <v>1367</v>
      </c>
      <c r="H72" s="104"/>
      <c r="I72" s="104"/>
    </row>
    <row r="73" spans="1:9" ht="9.9499999999999993" customHeight="1" x14ac:dyDescent="0.2">
      <c r="A73" s="104"/>
      <c r="B73" s="104"/>
      <c r="C73" s="104"/>
      <c r="D73" s="104"/>
      <c r="E73" s="104"/>
      <c r="F73" s="104"/>
      <c r="G73" s="104"/>
      <c r="H73" s="104"/>
      <c r="I73" s="104"/>
    </row>
    <row r="74" spans="1:9" ht="9.9499999999999993" customHeight="1" x14ac:dyDescent="0.2">
      <c r="A74" s="104"/>
      <c r="B74" s="104"/>
      <c r="C74" s="104"/>
      <c r="D74" s="104"/>
      <c r="E74" s="104"/>
      <c r="F74" s="104"/>
      <c r="G74" s="104"/>
      <c r="H74" s="104"/>
      <c r="I74" s="104"/>
    </row>
    <row r="75" spans="1:9" ht="9.9499999999999993" customHeight="1" x14ac:dyDescent="0.2">
      <c r="A75" s="104"/>
      <c r="B75" s="104"/>
      <c r="C75" s="104"/>
      <c r="D75" s="104"/>
      <c r="E75" s="104"/>
      <c r="F75" s="104"/>
      <c r="G75" s="104"/>
      <c r="H75" s="104"/>
      <c r="I75" s="104"/>
    </row>
    <row r="76" spans="1:9" ht="9.9499999999999993" customHeight="1" x14ac:dyDescent="0.2">
      <c r="A76" s="104">
        <v>500</v>
      </c>
      <c r="B76" s="104"/>
      <c r="C76" s="104"/>
      <c r="D76" s="104"/>
      <c r="E76" s="104"/>
      <c r="F76" s="104">
        <v>15</v>
      </c>
      <c r="G76" s="104"/>
      <c r="H76" s="104"/>
      <c r="I76" s="104"/>
    </row>
    <row r="77" spans="1:9" ht="9.9499999999999993" customHeight="1" x14ac:dyDescent="0.2">
      <c r="A77" s="104">
        <v>2000</v>
      </c>
      <c r="B77" s="104">
        <f>SUM(A77,-A76)</f>
        <v>1500</v>
      </c>
      <c r="C77" s="104">
        <v>500</v>
      </c>
      <c r="D77" s="104">
        <f>PRODUCT(B77,1/C77)</f>
        <v>3</v>
      </c>
      <c r="E77" s="104">
        <v>4</v>
      </c>
      <c r="F77" s="104">
        <f>PRODUCT(D77,E77)</f>
        <v>12</v>
      </c>
      <c r="G77" s="104">
        <v>17</v>
      </c>
      <c r="H77" s="104">
        <f t="shared" ref="H77:H82" si="8">PRODUCT(D77,G77)</f>
        <v>51</v>
      </c>
      <c r="I77" s="104"/>
    </row>
    <row r="78" spans="1:9" ht="9.9499999999999993" customHeight="1" x14ac:dyDescent="0.2">
      <c r="A78" s="104">
        <v>10000</v>
      </c>
      <c r="B78" s="104">
        <f t="shared" ref="B78:B87" si="9">SUM(A78,-A77)</f>
        <v>8000</v>
      </c>
      <c r="C78" s="104">
        <v>1000</v>
      </c>
      <c r="D78" s="104">
        <f t="shared" ref="D78:D87" si="10">PRODUCT(B78,1/C78)</f>
        <v>8</v>
      </c>
      <c r="E78" s="104">
        <v>6</v>
      </c>
      <c r="F78" s="104">
        <f t="shared" ref="F78:F87" si="11">PRODUCT(D78,E78)</f>
        <v>48</v>
      </c>
      <c r="G78" s="104">
        <v>19</v>
      </c>
      <c r="H78" s="104">
        <f t="shared" si="8"/>
        <v>152</v>
      </c>
      <c r="I78" s="104"/>
    </row>
    <row r="79" spans="1:9" ht="9.9499999999999993" customHeight="1" x14ac:dyDescent="0.2">
      <c r="A79" s="104">
        <v>25000</v>
      </c>
      <c r="B79" s="104">
        <f t="shared" si="9"/>
        <v>15000</v>
      </c>
      <c r="C79" s="104">
        <v>3000</v>
      </c>
      <c r="D79" s="104">
        <f t="shared" si="10"/>
        <v>5</v>
      </c>
      <c r="E79" s="104">
        <v>8</v>
      </c>
      <c r="F79" s="104">
        <f t="shared" si="11"/>
        <v>40</v>
      </c>
      <c r="G79" s="104">
        <v>25</v>
      </c>
      <c r="H79" s="104">
        <f t="shared" si="8"/>
        <v>125</v>
      </c>
      <c r="I79" s="104"/>
    </row>
    <row r="80" spans="1:9" ht="9.9499999999999993" customHeight="1" x14ac:dyDescent="0.2">
      <c r="A80" s="104">
        <v>50000</v>
      </c>
      <c r="B80" s="104">
        <f t="shared" si="9"/>
        <v>25000</v>
      </c>
      <c r="C80" s="104">
        <v>5000</v>
      </c>
      <c r="D80" s="104">
        <f t="shared" si="10"/>
        <v>5</v>
      </c>
      <c r="E80" s="104">
        <v>10</v>
      </c>
      <c r="F80" s="104">
        <f t="shared" si="11"/>
        <v>50</v>
      </c>
      <c r="G80" s="104">
        <v>37</v>
      </c>
      <c r="H80" s="104">
        <f t="shared" si="8"/>
        <v>185</v>
      </c>
      <c r="I80" s="104"/>
    </row>
    <row r="81" spans="1:9" ht="9.9499999999999993" customHeight="1" x14ac:dyDescent="0.2">
      <c r="A81" s="104">
        <v>200000</v>
      </c>
      <c r="B81" s="104">
        <f t="shared" si="9"/>
        <v>150000</v>
      </c>
      <c r="C81" s="104">
        <v>15000</v>
      </c>
      <c r="D81" s="104">
        <f t="shared" si="10"/>
        <v>10</v>
      </c>
      <c r="E81" s="104">
        <v>27</v>
      </c>
      <c r="F81" s="104">
        <f t="shared" si="11"/>
        <v>270</v>
      </c>
      <c r="G81" s="104">
        <v>117</v>
      </c>
      <c r="H81" s="104">
        <f t="shared" si="8"/>
        <v>1170</v>
      </c>
      <c r="I81" s="104"/>
    </row>
    <row r="82" spans="1:9" ht="9.9499999999999993" customHeight="1" x14ac:dyDescent="0.2">
      <c r="A82" s="104">
        <v>500000</v>
      </c>
      <c r="B82" s="104">
        <f t="shared" si="9"/>
        <v>300000</v>
      </c>
      <c r="C82" s="104">
        <v>30000</v>
      </c>
      <c r="D82" s="104">
        <f t="shared" si="10"/>
        <v>10</v>
      </c>
      <c r="E82" s="104">
        <v>50</v>
      </c>
      <c r="F82" s="104">
        <f t="shared" si="11"/>
        <v>500</v>
      </c>
      <c r="G82" s="104">
        <v>177</v>
      </c>
      <c r="H82" s="104">
        <f t="shared" si="8"/>
        <v>1770</v>
      </c>
      <c r="I82" s="104"/>
    </row>
    <row r="83" spans="1:9" ht="9.9499999999999993" customHeight="1" x14ac:dyDescent="0.2">
      <c r="A83" s="104">
        <v>5000000</v>
      </c>
      <c r="B83" s="104">
        <f t="shared" si="9"/>
        <v>4500000</v>
      </c>
      <c r="C83" s="104">
        <v>50000</v>
      </c>
      <c r="D83" s="104">
        <f>PRODUCT(B83,1/C83)</f>
        <v>90.000000000000014</v>
      </c>
      <c r="E83" s="104">
        <v>80</v>
      </c>
      <c r="F83" s="104">
        <f t="shared" si="11"/>
        <v>7200.0000000000009</v>
      </c>
      <c r="G83" s="104">
        <v>177</v>
      </c>
      <c r="H83" s="104">
        <f>PRODUCT(590,G83)</f>
        <v>104430</v>
      </c>
      <c r="I83" s="104"/>
    </row>
    <row r="84" spans="1:9" ht="9.9499999999999993" customHeight="1" x14ac:dyDescent="0.2">
      <c r="A84" s="104">
        <v>10000000</v>
      </c>
      <c r="B84" s="104">
        <f t="shared" si="9"/>
        <v>5000000</v>
      </c>
      <c r="C84" s="104">
        <v>200000</v>
      </c>
      <c r="D84" s="104">
        <f t="shared" si="10"/>
        <v>25.000000000000004</v>
      </c>
      <c r="E84" s="104">
        <v>130</v>
      </c>
      <c r="F84" s="104">
        <f t="shared" si="11"/>
        <v>3250.0000000000005</v>
      </c>
      <c r="G84" s="104">
        <v>177</v>
      </c>
      <c r="H84" s="104"/>
      <c r="I84" s="104"/>
    </row>
    <row r="85" spans="1:9" ht="9.9499999999999993" customHeight="1" x14ac:dyDescent="0.2">
      <c r="A85" s="104">
        <v>20000000</v>
      </c>
      <c r="B85" s="104">
        <f t="shared" si="9"/>
        <v>10000000</v>
      </c>
      <c r="C85" s="104">
        <v>250000</v>
      </c>
      <c r="D85" s="104">
        <f t="shared" si="10"/>
        <v>40</v>
      </c>
      <c r="E85" s="104">
        <v>150</v>
      </c>
      <c r="F85" s="104">
        <f t="shared" si="11"/>
        <v>6000</v>
      </c>
      <c r="G85" s="104">
        <v>177</v>
      </c>
      <c r="H85" s="104"/>
      <c r="I85" s="104"/>
    </row>
    <row r="86" spans="1:9" ht="9.9499999999999993" customHeight="1" x14ac:dyDescent="0.2">
      <c r="A86" s="104">
        <v>30000000</v>
      </c>
      <c r="B86" s="104">
        <f t="shared" si="9"/>
        <v>10000000</v>
      </c>
      <c r="C86" s="104">
        <v>500000</v>
      </c>
      <c r="D86" s="104">
        <f t="shared" si="10"/>
        <v>20</v>
      </c>
      <c r="E86" s="104">
        <v>280</v>
      </c>
      <c r="F86" s="104">
        <f t="shared" si="11"/>
        <v>5600</v>
      </c>
      <c r="G86" s="104">
        <v>177</v>
      </c>
      <c r="H86" s="104"/>
      <c r="I86" s="104"/>
    </row>
    <row r="87" spans="1:9" ht="9.9499999999999993" customHeight="1" x14ac:dyDescent="0.2">
      <c r="A87" s="104">
        <v>60000000</v>
      </c>
      <c r="B87" s="104">
        <f t="shared" si="9"/>
        <v>30000000</v>
      </c>
      <c r="C87" s="104">
        <v>1000000</v>
      </c>
      <c r="D87" s="104">
        <f t="shared" si="10"/>
        <v>30</v>
      </c>
      <c r="E87" s="104">
        <v>120</v>
      </c>
      <c r="F87" s="104">
        <f t="shared" si="11"/>
        <v>3600</v>
      </c>
      <c r="G87" s="104">
        <v>177</v>
      </c>
      <c r="H87" s="104"/>
      <c r="I87" s="104"/>
    </row>
    <row r="88" spans="1:9" ht="9.9499999999999993" customHeight="1" x14ac:dyDescent="0.2">
      <c r="A88" s="104"/>
      <c r="B88" s="104"/>
      <c r="C88" s="104"/>
      <c r="D88" s="104"/>
      <c r="E88" s="104"/>
      <c r="F88" s="104">
        <f>SUM(F76:F87)</f>
        <v>26585</v>
      </c>
      <c r="G88" s="104"/>
      <c r="H88" s="104">
        <f>SUM(H77:H87)</f>
        <v>107883</v>
      </c>
      <c r="I88" s="104"/>
    </row>
  </sheetData>
  <sheetProtection password="C470" sheet="1" objects="1" scenarios="1"/>
  <customSheetViews>
    <customSheetView guid="{FF9F85E7-6E40-4D4A-8166-CEBF69C362EC}" state="hidden">
      <selection activeCell="M8" sqref="M8"/>
      <pageMargins left="0.78740157499999996" right="0.78740157499999996" top="0.984251969" bottom="0.984251969" header="0.4921259845" footer="0.4921259845"/>
      <pageSetup paperSize="9" orientation="portrait" r:id="rId1"/>
      <headerFooter alignWithMargins="0"/>
    </customSheetView>
  </customSheetViews>
  <phoneticPr fontId="0" type="noConversion"/>
  <pageMargins left="0.78740157499999996" right="0.78740157499999996" top="0.984251969" bottom="0.984251969" header="0.4921259845" footer="0.492125984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Kaufvertrag</vt:lpstr>
      <vt:lpstr>Übertragungsvertrag</vt:lpstr>
      <vt:lpstr>Haupttabelle</vt:lpstr>
      <vt:lpstr>Rechentabelle</vt:lpstr>
      <vt:lpstr>Kaufvertrag!Druckbereich</vt:lpstr>
      <vt:lpstr>Übertragungsvertrag!Druckbereich</vt:lpstr>
    </vt:vector>
  </TitlesOfParts>
  <Company>Bundesnotarkammer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Gebührenrechner</dc:title>
  <dc:subject>Berechnung der Gebührenhöhe nach § 32 KostO</dc:subject>
  <dc:creator>Dr. Stefan Görk/Susanne Grimm</dc:creator>
  <cp:lastModifiedBy>Mitarbeiter</cp:lastModifiedBy>
  <cp:lastPrinted>2016-05-13T10:17:58Z</cp:lastPrinted>
  <dcterms:created xsi:type="dcterms:W3CDTF">2001-08-24T23:36:33Z</dcterms:created>
  <dcterms:modified xsi:type="dcterms:W3CDTF">2016-10-04T18:20:20Z</dcterms:modified>
</cp:coreProperties>
</file>